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DieseArbeitsmappe"/>
  <mc:AlternateContent xmlns:mc="http://schemas.openxmlformats.org/markup-compatibility/2006">
    <mc:Choice Requires="x15">
      <x15ac:absPath xmlns:x15ac="http://schemas.microsoft.com/office/spreadsheetml/2010/11/ac" url="K:\BD-AWEL-050-EN\Vollzug\Bauvollzug\Vollzugshilfsmittel\WPesti\WPesti2026_Januar(V.8.3.3.38)\"/>
    </mc:Choice>
  </mc:AlternateContent>
  <xr:revisionPtr revIDLastSave="0" documentId="13_ncr:1_{1808877D-1ADE-45FA-9070-B11C009AB725}" xr6:coauthVersionLast="47" xr6:coauthVersionMax="47" xr10:uidLastSave="{00000000-0000-0000-0000-000000000000}"/>
  <bookViews>
    <workbookView xWindow="2340" yWindow="2340" windowWidth="21600" windowHeight="11295" tabRatio="532" firstSheet="3" activeTab="3" xr2:uid="{00000000-000D-0000-FFFF-FFFF00000000}"/>
  </bookViews>
  <sheets>
    <sheet name="WP1" sheetId="2" state="hidden" r:id="rId1"/>
    <sheet name="Sprache" sheetId="3072" state="hidden" r:id="rId2"/>
    <sheet name="Tabelle1" sheetId="50874" state="hidden" r:id="rId3"/>
    <sheet name="WP" sheetId="3" r:id="rId4"/>
    <sheet name="JAZcalc" sheetId="50873" state="hidden" r:id="rId5"/>
    <sheet name="WP_BIN" sheetId="4" state="hidden" r:id="rId6"/>
    <sheet name="Grafik" sheetId="1" r:id="rId7"/>
    <sheet name="Spez" sheetId="50872" r:id="rId8"/>
    <sheet name="WP_Daten" sheetId="18176" state="hidden" r:id="rId9"/>
    <sheet name="Kosten" sheetId="259" state="hidden" r:id="rId10"/>
    <sheet name="Hinweise" sheetId="2476" state="hidden" r:id="rId11"/>
    <sheet name="BIN" sheetId="8364" state="hidden" r:id="rId12"/>
    <sheet name="Berechnungen" sheetId="8194" state="hidden" r:id="rId13"/>
    <sheet name="log" sheetId="777" state="hidden" r:id="rId14"/>
    <sheet name="Summendiagramm" sheetId="267" state="hidden" r:id="rId15"/>
  </sheets>
  <definedNames>
    <definedName name="_SIA384">'WP1'!$O$66</definedName>
    <definedName name="_TRL1" localSheetId="7">Spez!#REF!</definedName>
    <definedName name="_TRL1">'WP1'!$M$22</definedName>
    <definedName name="_TVL1" localSheetId="7">Spez!#REF!</definedName>
    <definedName name="_TVL1">'WP1'!$M$20</definedName>
    <definedName name="_Tww1" localSheetId="7">Spez!#REF!</definedName>
    <definedName name="_Tww1">'WP1'!$M$48</definedName>
    <definedName name="_wh3" localSheetId="7">Spez!#REF!</definedName>
    <definedName name="_wh5" localSheetId="7">Spez!#REF!</definedName>
    <definedName name="_www3" localSheetId="7">Spez!#REF!</definedName>
    <definedName name="_www5" localSheetId="7">Spez!#REF!</definedName>
    <definedName name="a">Berechnungen!$B$89</definedName>
    <definedName name="a_1">Berechnungen!$B$114</definedName>
    <definedName name="a_2">Berechnungen!$B$115</definedName>
    <definedName name="A_A">Berechnungen!$B$116</definedName>
    <definedName name="Azimut" localSheetId="7">Spez!#REF!</definedName>
    <definedName name="Azimut">'WP1'!$F$50</definedName>
    <definedName name="b">Berechnungen!$B$91</definedName>
    <definedName name="Bedarf" localSheetId="7">Spez!#REF!</definedName>
    <definedName name="Bedarf">'WP1'!$AG$129</definedName>
    <definedName name="BedarfWW" localSheetId="7">Spez!#REF!</definedName>
    <definedName name="BedarfWW">'WP1'!$AG$128</definedName>
    <definedName name="BIN" localSheetId="7">Spez!#REF!</definedName>
    <definedName name="BIN">'WP1'!$M$2</definedName>
    <definedName name="BINkorr">'WP1'!$Y$55</definedName>
    <definedName name="bivalent" localSheetId="7">Spez!#REF!</definedName>
    <definedName name="bivalent">'WP1'!$AE$139</definedName>
    <definedName name="Bivalenzpunkt" localSheetId="7">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7">Spez!#REF!</definedName>
    <definedName name="DeltaT_eff">'WP1'!$M$24</definedName>
    <definedName name="DeltaT_ref" localSheetId="7">Spez!#REF!</definedName>
    <definedName name="DeltaT_ref">'WP1'!$M$23</definedName>
    <definedName name="_xlnm.Print_Area" localSheetId="6">Grafik!$B$1:$L$77</definedName>
    <definedName name="_xlnm.Print_Area" localSheetId="4">JAZcalc!$B$1:$J$65</definedName>
    <definedName name="_xlnm.Print_Area" localSheetId="7">Spez!$A$2:$J$60</definedName>
    <definedName name="_xlnm.Print_Area" localSheetId="3">WP!$B$1:$H$60</definedName>
    <definedName name="_xlnm.Print_Area" localSheetId="0">'WP1'!$B$2:$H$66</definedName>
    <definedName name="DT__7" localSheetId="7">Spez!#REF!</definedName>
    <definedName name="DT__7">'WP1'!$R$36</definedName>
    <definedName name="DT_2" localSheetId="7">Spez!#REF!</definedName>
    <definedName name="DT_2">'WP1'!$R$37</definedName>
    <definedName name="DT_7" localSheetId="7">Spez!#REF!</definedName>
    <definedName name="DT_7">'WP1'!$R$38</definedName>
    <definedName name="DT_7_50" localSheetId="7">Spez!#REF!</definedName>
    <definedName name="DT_7_50">'WP1'!$R$39</definedName>
    <definedName name="DTKombispeicher">'WP1'!$M$51</definedName>
    <definedName name="dTNutzer" localSheetId="7">Spez!#REF!</definedName>
    <definedName name="dTNutzer">'WP1'!$M$26</definedName>
    <definedName name="e_k_f_phi">Berechnungen!$B$121</definedName>
    <definedName name="EBF" localSheetId="7">'WP1'!$H$8</definedName>
    <definedName name="EBF">'WP1'!$H$8</definedName>
    <definedName name="EBFo" localSheetId="7">Spez!#REF!</definedName>
    <definedName name="EBFo">'WP1'!$M$39</definedName>
    <definedName name="Eingabe1" localSheetId="7">Spez!#REF!</definedName>
    <definedName name="Eingabe1">'WP1'!$AJ$4</definedName>
    <definedName name="Einheitenfaktor">WP!$M$22</definedName>
    <definedName name="elWW" localSheetId="7">Spez!#REF!</definedName>
    <definedName name="elWW">'WP1'!$BG$85</definedName>
    <definedName name="elZusatz" localSheetId="7">Spez!#REF!</definedName>
    <definedName name="elZusatz">'WP1'!$AF$139</definedName>
    <definedName name="EN_14511" localSheetId="7">Spez!#REF!</definedName>
    <definedName name="EN_14511">'WP1'!$AR$5</definedName>
    <definedName name="Etah" localSheetId="7">Spez!#REF!</definedName>
    <definedName name="Etah">'WP1'!$H$59</definedName>
    <definedName name="Etaw" localSheetId="7">Spez!#REF!</definedName>
    <definedName name="Etaw">'WP1'!$H$60</definedName>
    <definedName name="EtaW2" localSheetId="7">Spez!#REF!</definedName>
    <definedName name="EtaW2">'WP1'!$AN$30</definedName>
    <definedName name="EtaWW" localSheetId="7">Spez!#REF!</definedName>
    <definedName name="EtaWW">'WP1'!$J$16</definedName>
    <definedName name="f_phi">Berechnungen!$B$119</definedName>
    <definedName name="Heizperiode" localSheetId="7">Spez!#REF!</definedName>
    <definedName name="Heizperiode">'WP1'!$W$130</definedName>
    <definedName name="Heizspeicher" localSheetId="7">Spez!#REF!</definedName>
    <definedName name="Heizspeicher">'WP1'!$BH$66</definedName>
    <definedName name="Heizstunden" localSheetId="7">Spez!#REF!</definedName>
    <definedName name="Heizstunden">'WP1'!$Y$129</definedName>
    <definedName name="Heizung" localSheetId="7">Spez!#REF!</definedName>
    <definedName name="Heizung">'WP1'!$BH$65</definedName>
    <definedName name="HeizungSolar">'WP1'!$N$56</definedName>
    <definedName name="Hersteller" localSheetId="7">Spez!#REF!</definedName>
    <definedName name="Hersteller">'WP1'!$AP$5</definedName>
    <definedName name="HGT" localSheetId="7">Spez!#REF!</definedName>
    <definedName name="HGT">'WP1'!$H$105</definedName>
    <definedName name="Index_Klima">Berechnungen!$P$1</definedName>
    <definedName name="JAZcalc">JAZcalc!$S$16</definedName>
    <definedName name="JAZel">WP!$K$60</definedName>
    <definedName name="jazh" localSheetId="7">Spez!#REF!</definedName>
    <definedName name="jazh">'WP1'!$H$62</definedName>
    <definedName name="jazh3" localSheetId="7">Spez!#REF!</definedName>
    <definedName name="jazh5" localSheetId="7">Spez!#REF!</definedName>
    <definedName name="jazsh">JAZcalc!$I$59</definedName>
    <definedName name="jazsww">JAZcalc!$I$60</definedName>
    <definedName name="jazww" localSheetId="7">Spez!#REF!</definedName>
    <definedName name="jazww">'WP1'!$H$63</definedName>
    <definedName name="Kategorie" localSheetId="7">Spez!#REF!</definedName>
    <definedName name="Kategorie">'WP1'!$L$3</definedName>
    <definedName name="Kesselleistung" localSheetId="7">Spez!#REF!</definedName>
    <definedName name="Kesselleistung">'WP1'!$H$46</definedName>
    <definedName name="Kli_Sta" localSheetId="7">Spez!#REF!</definedName>
    <definedName name="Kli_Sta">'WP1'!$A$74:$B$105</definedName>
    <definedName name="Klima" localSheetId="7">Spez!#REF!</definedName>
    <definedName name="Klima">'WP1'!$B$71</definedName>
    <definedName name="Klimakorr" localSheetId="7">Spez!#REF!</definedName>
    <definedName name="Klimakorr">'WP1'!$M$34</definedName>
    <definedName name="Kollektor" localSheetId="7">Spez!#REF!</definedName>
    <definedName name="Kollektor">'WP1'!$K$63</definedName>
    <definedName name="KollektorWW" localSheetId="7">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7">Spez!#REF!</definedName>
    <definedName name="lambda_Erde">'WP1'!$M$38</definedName>
    <definedName name="Laufzeit_Zusatzheizung" localSheetId="7">Spez!#REF!</definedName>
    <definedName name="Laufzeit_Zusatzheizung">'WP1'!$H$47</definedName>
    <definedName name="Leistung" localSheetId="7">Spez!#REF!</definedName>
    <definedName name="Leistung">'WP1'!$H$14</definedName>
    <definedName name="Leistungskorr">Berechnungen!$A$36</definedName>
    <definedName name="Leistungsvorschlag">Grafik!$F$15</definedName>
    <definedName name="Max_JAZww">'WP1'!$R$41</definedName>
    <definedName name="Max_Zusatzheizung" localSheetId="7">Spez!#REF!</definedName>
    <definedName name="Max_Zusatzheizung">'WP1'!$AM$128</definedName>
    <definedName name="Methode_384_3">'WP1'!$X$3</definedName>
    <definedName name="MinSol">'WP1'!$O$65</definedName>
    <definedName name="muM" localSheetId="7">Spez!#REF!</definedName>
    <definedName name="muM">'WP1'!$J$52</definedName>
    <definedName name="n_0">Berechnungen!$B$113</definedName>
    <definedName name="Neigung" localSheetId="7">Spez!#REF!</definedName>
    <definedName name="Neigung">'WP1'!$H$50</definedName>
    <definedName name="Neu" localSheetId="7">Spez!#REF!</definedName>
    <definedName name="Neu">'WP1'!$O$2</definedName>
    <definedName name="Nutzungsgrad" localSheetId="7">Spez!#REF!</definedName>
    <definedName name="Nutzungsgrad">'WP1'!$M$35</definedName>
    <definedName name="Offset" localSheetId="7">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7">'WP1'!$M$27</definedName>
    <definedName name="Qh">'WP1'!$M$27</definedName>
    <definedName name="Qhmax" localSheetId="7">Spez!#REF!</definedName>
    <definedName name="Qhmax">'WP1'!$AJ$128</definedName>
    <definedName name="QT" localSheetId="7">Spez!#REF!</definedName>
    <definedName name="QT">'WP1'!$H$10</definedName>
    <definedName name="Qtot" localSheetId="7">Spez!#REF!</definedName>
    <definedName name="Qtot">'WP1'!$M$29</definedName>
    <definedName name="QV" localSheetId="7">Spez!#REF!</definedName>
    <definedName name="QV">'WP1'!$H$11</definedName>
    <definedName name="Qww" localSheetId="7">'WP1'!$H$15</definedName>
    <definedName name="Qww">'WP1'!$H$15</definedName>
    <definedName name="Qww_standard" localSheetId="7">Spez!#REF!</definedName>
    <definedName name="Qww_standard">'WP1'!$M$36</definedName>
    <definedName name="Rechenwert_Leistung">Grafik!$O$24</definedName>
    <definedName name="sin_2v">Berechnungen!$C$95</definedName>
    <definedName name="Solarant">Grafik!$C$10</definedName>
    <definedName name="Solaranteil" localSheetId="7">Spez!#REF!</definedName>
    <definedName name="Solaranteil">'WP1'!$Y$130</definedName>
    <definedName name="solarExtern">'WP1'!$O$67</definedName>
    <definedName name="SolWW" localSheetId="7">Spez!#REF!</definedName>
    <definedName name="SolWW">'WP1'!$P$63</definedName>
    <definedName name="Speicher" localSheetId="7">Spez!#REF!</definedName>
    <definedName name="Speicher">'WP1'!$AI$146</definedName>
    <definedName name="Sperrzeit" localSheetId="7">Spez!#REF!</definedName>
    <definedName name="Sperrzeit">'WP1'!$H$13</definedName>
    <definedName name="SpezWP">Spez!$L$15</definedName>
    <definedName name="Startzeile_BINs">BIN!$A$3</definedName>
    <definedName name="stufig">'WP1'!$M$52</definedName>
    <definedName name="TaMin" localSheetId="7">Spez!#REF!</definedName>
    <definedName name="TaMin">'WP1'!$D$105</definedName>
    <definedName name="TaMinVorarlberg">JAZcalc!$S$723</definedName>
    <definedName name="TaMittel" localSheetId="7">Spez!#REF!</definedName>
    <definedName name="TaMittel">'WP1'!$F$105</definedName>
    <definedName name="TQuelle" localSheetId="7">Spez!#REF!</definedName>
    <definedName name="TQuelle">'WP1'!$X$25</definedName>
    <definedName name="TQuelle_Koll" localSheetId="7">Spez!#REF!</definedName>
    <definedName name="TQuelle_Koll">'WP1'!$AB$25</definedName>
    <definedName name="TQuelleH1" localSheetId="7">Spez!#REF!</definedName>
    <definedName name="TQuelleH1">'WP1'!$Z$25</definedName>
    <definedName name="TQuelleW1" localSheetId="7">Spez!#REF!</definedName>
    <definedName name="TQuelleW1">'WP1'!$Z$32</definedName>
    <definedName name="TRL" localSheetId="7">Spez!#REF!</definedName>
    <definedName name="TRL">'WP1'!$H$37</definedName>
    <definedName name="TVL" localSheetId="7">Spez!#REF!</definedName>
    <definedName name="TVL">'WP1'!$H$36</definedName>
    <definedName name="Typ" localSheetId="7">Spez!#REF!</definedName>
    <definedName name="Typ">'WP1'!$AQ$5</definedName>
    <definedName name="Ueberladung" localSheetId="7">Spez!#REF!</definedName>
    <definedName name="Ueberladung">'WP1'!$AK$146</definedName>
    <definedName name="v">Berechnungen!$B$90</definedName>
    <definedName name="Venti">Spez!$S$5</definedName>
    <definedName name="Verteilverluste" localSheetId="7">Spez!#REF!</definedName>
    <definedName name="Verteilverluste">'WP1'!$H$12</definedName>
    <definedName name="Wetterstation" localSheetId="7">Spez!#REF!</definedName>
    <definedName name="Wetterstation">'WP1'!$B$105</definedName>
    <definedName name="wh" localSheetId="7">Spez!#REF!</definedName>
    <definedName name="wh">'WP1'!$H$64</definedName>
    <definedName name="WinkelKorr">'WP1'!$K$60</definedName>
    <definedName name="WPArt">'WP1'!$R$4</definedName>
    <definedName name="WPArt2" localSheetId="7">Spez!#REF!</definedName>
    <definedName name="WPArt2">'WP1'!$S$4</definedName>
    <definedName name="WPDatenbank">'WP1'!$J$19</definedName>
    <definedName name="WW" localSheetId="7">Spez!#REF!</definedName>
    <definedName name="WW">'WP1'!$BH$64</definedName>
    <definedName name="wwSolar">'WP1'!$M$56</definedName>
    <definedName name="www" localSheetId="7">Spez!#REF!</definedName>
    <definedName name="www">'WP1'!$H$65</definedName>
    <definedName name="x">Berechnungen!$C$97</definedName>
    <definedName name="y">Berechnungen!$C$98</definedName>
    <definedName name="y_2">Berechnungen!$C$99</definedName>
    <definedName name="Zusatzheizung" localSheetId="7">Spez!#REF!</definedName>
    <definedName name="Zusatzheizung">'WP1'!$AD$128</definedName>
    <definedName name="Zusatzheizung_total" localSheetId="7">Spez!#REF!</definedName>
    <definedName name="Zusatzheizung_total">'WP1'!$AL$128</definedName>
    <definedName name="ZusatzWW" localSheetId="7">Spez!#REF!</definedName>
    <definedName name="ZusatzWW">'WP1'!$AE$128</definedName>
    <definedName name="ZusatzWW_total" localSheetId="7">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F23" i="2" s="1"/>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AE8" i="2"/>
  <c r="H14" i="2"/>
  <c r="O16" i="2"/>
  <c r="O17" i="2"/>
  <c r="W17" i="2"/>
  <c r="Y17" i="2"/>
  <c r="AA17" i="2"/>
  <c r="AC17" i="2"/>
  <c r="AG17" i="2"/>
  <c r="AH17" i="2"/>
  <c r="AI17" i="2"/>
  <c r="AJ17" i="2"/>
  <c r="W18" i="2"/>
  <c r="Y18" i="2"/>
  <c r="AA18" i="2"/>
  <c r="AC18" i="2"/>
  <c r="AG18" i="2"/>
  <c r="AH18" i="2"/>
  <c r="AH19" i="2" s="1"/>
  <c r="AI18" i="2"/>
  <c r="AJ18" i="2"/>
  <c r="AJ19" i="2" s="1"/>
  <c r="AJ20" i="2" s="1"/>
  <c r="U20" i="2"/>
  <c r="F21" i="2"/>
  <c r="U21" i="2"/>
  <c r="U22" i="2"/>
  <c r="AH22" i="2"/>
  <c r="AH23" i="2"/>
  <c r="F24" i="2"/>
  <c r="AD25" i="2"/>
  <c r="G29" i="2"/>
  <c r="S10" i="18176" s="1"/>
  <c r="AN29" i="2"/>
  <c r="H30" i="2"/>
  <c r="AN30" i="2"/>
  <c r="W31" i="2"/>
  <c r="Y31" i="2"/>
  <c r="AA31" i="2"/>
  <c r="AC31" i="2"/>
  <c r="AE31" i="2"/>
  <c r="AF31" i="2"/>
  <c r="AF37" i="2" s="1"/>
  <c r="AG31" i="2"/>
  <c r="AH31" i="2"/>
  <c r="AI31" i="2"/>
  <c r="AJ31" i="2"/>
  <c r="M35" i="2"/>
  <c r="W24" i="1" s="1"/>
  <c r="AB24" i="1" s="1"/>
  <c r="R36" i="2"/>
  <c r="R37" i="2"/>
  <c r="R38" i="2"/>
  <c r="F40" i="2"/>
  <c r="H41" i="2"/>
  <c r="M48" i="2" s="1"/>
  <c r="E43" i="2"/>
  <c r="H43" i="2"/>
  <c r="F48" i="2"/>
  <c r="J48" i="2" s="1"/>
  <c r="N57" i="2" s="1"/>
  <c r="H49" i="2"/>
  <c r="H54" i="2"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C72" i="2"/>
  <c r="D72" i="2"/>
  <c r="F72" i="2"/>
  <c r="G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B72" i="2" l="1"/>
  <c r="H42" i="2"/>
  <c r="H31" i="2"/>
  <c r="F22" i="2"/>
  <c r="H38" i="2"/>
  <c r="U55" i="50872" s="1"/>
  <c r="E30" i="2"/>
  <c r="R10" i="18176" s="1"/>
  <c r="F20" i="2"/>
  <c r="O15" i="2"/>
  <c r="G19" i="2"/>
  <c r="O14" i="2"/>
  <c r="H37" i="2"/>
  <c r="H29" i="2"/>
  <c r="E29" i="2"/>
  <c r="Q10" i="18176" s="1"/>
  <c r="H13" i="2"/>
  <c r="H28" i="2"/>
  <c r="O12" i="2"/>
  <c r="H34" i="2"/>
  <c r="F28" i="2"/>
  <c r="L10" i="18176" s="1"/>
  <c r="O11" i="2"/>
  <c r="O13" i="2"/>
  <c r="H36" i="2"/>
  <c r="H35" i="2"/>
  <c r="G28" i="2"/>
  <c r="N10" i="18176" s="1"/>
  <c r="H12" i="2"/>
  <c r="B18" i="1"/>
  <c r="H13" i="1"/>
  <c r="H33" i="2"/>
  <c r="R26" i="2" s="1"/>
  <c r="E28" i="2"/>
  <c r="J10" i="18176" s="1"/>
  <c r="O10" i="2"/>
  <c r="C19" i="1"/>
  <c r="H32" i="2"/>
  <c r="AB22" i="2" s="1"/>
  <c r="D28" i="2"/>
  <c r="H10" i="18176" s="1"/>
  <c r="O9" i="2"/>
  <c r="G18" i="2"/>
  <c r="B19" i="1"/>
  <c r="F52" i="2"/>
  <c r="B114" i="8194" s="1"/>
  <c r="F27" i="2"/>
  <c r="K10" i="18176" s="1"/>
  <c r="C18" i="2"/>
  <c r="F10" i="18176" s="1"/>
  <c r="H8" i="2"/>
  <c r="B36" i="50873" s="1"/>
  <c r="B15" i="1"/>
  <c r="E18" i="2"/>
  <c r="J18" i="2" s="1"/>
  <c r="D52" i="2"/>
  <c r="B113" i="8194" s="1"/>
  <c r="E27" i="2"/>
  <c r="I10" i="18176" s="1"/>
  <c r="O7" i="2"/>
  <c r="G30" i="2"/>
  <c r="T10" i="18176" s="1"/>
  <c r="H16" i="2"/>
  <c r="H27" i="2"/>
  <c r="H52" i="2"/>
  <c r="J52" i="2" s="1"/>
  <c r="B115" i="8194" s="1"/>
  <c r="G27" i="2"/>
  <c r="M10" i="18176" s="1"/>
  <c r="O8" i="2"/>
  <c r="D16" i="1"/>
  <c r="D17" i="1"/>
  <c r="C16" i="1"/>
  <c r="H51" i="2"/>
  <c r="D27" i="2"/>
  <c r="G10" i="18176" s="1"/>
  <c r="H7" i="2"/>
  <c r="M3" i="2" s="1"/>
  <c r="B26" i="8194" s="1"/>
  <c r="D18" i="1"/>
  <c r="H72" i="2"/>
  <c r="H50" i="2"/>
  <c r="AC35" i="3" s="1"/>
  <c r="F50" i="2"/>
  <c r="B89" i="8194" s="1"/>
  <c r="C94" i="8194" s="1"/>
  <c r="O6" i="2"/>
  <c r="H6" i="2"/>
  <c r="L2" i="2" s="1"/>
  <c r="P1" i="8194" s="1"/>
  <c r="G1" i="8194" s="1"/>
  <c r="G2" i="8194" s="1"/>
  <c r="D6" i="8194" s="1" a="1"/>
  <c r="AY13" i="8194" s="1"/>
  <c r="AY104" i="8194" s="1"/>
  <c r="K60" i="3"/>
  <c r="B54" i="50873"/>
  <c r="J39" i="50873"/>
  <c r="Q23" i="3"/>
  <c r="M92" i="3"/>
  <c r="J19" i="2"/>
  <c r="Z35" i="3"/>
  <c r="Z36" i="3" s="1"/>
  <c r="J23" i="2"/>
  <c r="AB40" i="1" s="1"/>
  <c r="AI41" i="18176"/>
  <c r="AJ41" i="18176" s="1"/>
  <c r="Q24" i="3"/>
  <c r="F8" i="3072"/>
  <c r="B8" i="3072" s="1"/>
  <c r="Q26" i="3"/>
  <c r="AG8" i="50873"/>
  <c r="S17" i="50873"/>
  <c r="P38" i="50873" s="1"/>
  <c r="W17" i="50873"/>
  <c r="X17" i="50873"/>
  <c r="L46" i="50872"/>
  <c r="L54" i="50872"/>
  <c r="F11" i="50873"/>
  <c r="M39" i="2"/>
  <c r="B33" i="2"/>
  <c r="J25" i="2"/>
  <c r="B39" i="2" s="1"/>
  <c r="B42" i="50873" s="1"/>
  <c r="W11" i="50872"/>
  <c r="U24" i="50872" s="1"/>
  <c r="M18" i="50872"/>
  <c r="M22" i="50872" s="1"/>
  <c r="H9" i="2"/>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F17" i="50873"/>
  <c r="N21" i="50873"/>
  <c r="B14" i="50872"/>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B101" i="8194"/>
  <c r="B105" i="8194" s="1"/>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L32" i="3"/>
  <c r="Z15" i="50873"/>
  <c r="AJ7" i="50873"/>
  <c r="T25" i="3"/>
  <c r="B71" i="2"/>
  <c r="G6" i="2" s="1"/>
  <c r="T144" i="2"/>
  <c r="C80" i="50873" s="1"/>
  <c r="B27" i="2"/>
  <c r="L8" i="3"/>
  <c r="Q6" i="2"/>
  <c r="L9" i="3"/>
  <c r="D8" i="50872"/>
  <c r="B30" i="50873"/>
  <c r="B59" i="2"/>
  <c r="B29" i="2"/>
  <c r="B25" i="2"/>
  <c r="Q8" i="2"/>
  <c r="B45" i="3"/>
  <c r="T138" i="2"/>
  <c r="M79" i="3" s="1"/>
  <c r="B5" i="50872"/>
  <c r="B53" i="50872"/>
  <c r="B18" i="3"/>
  <c r="B48" i="2"/>
  <c r="B16" i="2"/>
  <c r="B10" i="2"/>
  <c r="B46" i="3"/>
  <c r="T135" i="2"/>
  <c r="B56" i="2"/>
  <c r="K1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B2" i="2"/>
  <c r="D9" i="50872"/>
  <c r="F8" i="50873"/>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R25" i="2" l="1"/>
  <c r="Z32" i="2"/>
  <c r="Z25" i="2"/>
  <c r="C93" i="8194"/>
  <c r="Y152" i="2"/>
  <c r="Y153" i="2" s="1"/>
  <c r="M2" i="2"/>
  <c r="C96" i="8194"/>
  <c r="B29" i="8194"/>
  <c r="D4" i="8194" a="1"/>
  <c r="D4" i="8194" s="1"/>
  <c r="E50" i="2"/>
  <c r="F49" i="50873" s="1"/>
  <c r="L3" i="2"/>
  <c r="I26" i="8194" s="1"/>
  <c r="B44" i="8194" s="1"/>
  <c r="AD170" i="2"/>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H39" i="2"/>
  <c r="M19" i="2" s="1"/>
  <c r="G39" i="2"/>
  <c r="H42" i="50873" s="1"/>
  <c r="M83" i="3"/>
  <c r="G50" i="5087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E4" i="8194" l="1"/>
  <c r="E46" i="3"/>
  <c r="E5" i="8194"/>
  <c r="D5" i="8194"/>
  <c r="F26" i="8194"/>
  <c r="G7" i="2"/>
  <c r="G7" i="3"/>
  <c r="Y64" i="50872"/>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E24" i="2" l="1"/>
  <c r="Y22" i="3"/>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AB78" i="50872" s="1"/>
  <c r="AC78" i="50872" s="1"/>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F8" i="267" s="1"/>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V82" i="4"/>
  <c r="AV83" i="4" s="1"/>
  <c r="AW13" i="4"/>
  <c r="AY13" i="4"/>
  <c r="AR14" i="4"/>
  <c r="AL14" i="4"/>
  <c r="AV13" i="4"/>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X17" i="4" l="1"/>
  <c r="AX19" i="4" s="1"/>
  <c r="AV17" i="4"/>
  <c r="AV19" i="4" s="1"/>
  <c r="AT51" i="4"/>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Y84" i="4"/>
  <c r="AY85" i="4" s="1"/>
  <c r="AX15" i="4"/>
  <c r="AX18" i="4" s="1"/>
  <c r="AX20" i="4" s="1"/>
  <c r="AX52" i="4" s="1"/>
  <c r="AX54" i="4" s="1"/>
  <c r="BC90" i="2"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O52" i="4" l="1"/>
  <c r="AO54" i="4" s="1"/>
  <c r="BC81" i="2" s="1"/>
  <c r="AY52" i="4"/>
  <c r="AY54" i="4" s="1"/>
  <c r="BC91" i="2" s="1"/>
  <c r="AD52" i="4"/>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N40" i="3" l="1"/>
  <c r="N42" i="3"/>
  <c r="N41" i="3"/>
  <c r="W53" i="2"/>
  <c r="AC10" i="18176" s="1"/>
  <c r="AC5" i="18176" s="1"/>
  <c r="M70" i="4" l="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Y10" i="18176"/>
  <c r="Y5" i="18176" s="1"/>
  <c r="N43" i="3" s="1"/>
  <c r="U10" i="18176"/>
  <c r="U5" i="18176" s="1"/>
  <c r="H13" i="4" s="1"/>
  <c r="I22" i="4" s="1"/>
  <c r="J22" i="4" l="1"/>
  <c r="J34" i="4" s="1"/>
  <c r="N22" i="4"/>
  <c r="I34" i="4"/>
  <c r="BW11" i="4" l="1"/>
  <c r="BT11" i="4"/>
  <c r="BS11" i="4"/>
  <c r="CB11" i="4"/>
  <c r="CG11" i="4"/>
  <c r="BV11" i="4"/>
  <c r="BL12" i="4"/>
  <c r="BZ11" i="4"/>
  <c r="BM11" i="4"/>
  <c r="CC11" i="4"/>
  <c r="CD11" i="4"/>
  <c r="BJ12" i="4"/>
  <c r="BD12" i="4"/>
  <c r="BU11" i="4"/>
  <c r="BY11" i="4"/>
  <c r="CA11" i="4"/>
  <c r="BR11" i="4"/>
  <c r="BI12" i="4"/>
  <c r="BE12" i="4"/>
  <c r="BB12" i="4"/>
  <c r="N34" i="4"/>
  <c r="BC12" i="4"/>
  <c r="BP11" i="4"/>
  <c r="BG12" i="4"/>
  <c r="BO11" i="4"/>
  <c r="CE11" i="4"/>
  <c r="BN11" i="4"/>
  <c r="BF12" i="4"/>
  <c r="BA12" i="4"/>
  <c r="BQ11" i="4"/>
  <c r="BK12" i="4"/>
  <c r="BH12" i="4"/>
  <c r="AZ12" i="4"/>
  <c r="BX11" i="4"/>
  <c r="CF11" i="4"/>
  <c r="BQ12" i="4"/>
  <c r="BS12" i="4"/>
  <c r="BU12" i="4"/>
  <c r="BP12" i="4"/>
  <c r="CE12" i="4"/>
  <c r="BN12" i="4"/>
  <c r="CA12" i="4"/>
  <c r="BW12" i="4"/>
  <c r="CC12" i="4"/>
  <c r="BV12" i="4"/>
  <c r="BO12" i="4"/>
  <c r="BZ12" i="4"/>
  <c r="BX12" i="4"/>
  <c r="CG12" i="4"/>
  <c r="BR12" i="4"/>
  <c r="BY12" i="4"/>
  <c r="CF12" i="4"/>
  <c r="BT12" i="4"/>
  <c r="CB12" i="4"/>
  <c r="CD12" i="4"/>
  <c r="BM12" i="4"/>
  <c r="W52" i="2"/>
  <c r="E70" i="4" s="1"/>
  <c r="G70" i="4" s="1"/>
  <c r="W50" i="2"/>
  <c r="E71" i="4" s="1"/>
  <c r="E73" i="4" s="1"/>
  <c r="G73" i="4" s="1"/>
  <c r="W51" i="2"/>
  <c r="V10" i="18176" s="1"/>
  <c r="V5" i="18176" s="1"/>
  <c r="H14" i="4" s="1"/>
  <c r="I23" i="4" s="1"/>
  <c r="I24" i="4" s="1"/>
  <c r="I36" i="4" s="1"/>
  <c r="Z18" i="2"/>
  <c r="AA10" i="18176"/>
  <c r="AA5" i="18176" s="1"/>
  <c r="AB10" i="18176"/>
  <c r="AB5" i="18176" s="1"/>
  <c r="W10" i="18176"/>
  <c r="W5" i="18176" s="1"/>
  <c r="Z31" i="2" l="1"/>
  <c r="AB18" i="2"/>
  <c r="AB19" i="2" s="1"/>
  <c r="AB20" i="2" s="1"/>
  <c r="X18" i="2"/>
  <c r="X19" i="2" s="1"/>
  <c r="M42" i="2" s="1"/>
  <c r="M71" i="4"/>
  <c r="M73" i="4" s="1"/>
  <c r="O73" i="4" s="1"/>
  <c r="T71" i="4" s="1"/>
  <c r="U71" i="4" s="1"/>
  <c r="O10" i="18176"/>
  <c r="O5" i="18176" s="1"/>
  <c r="H11" i="4" s="1"/>
  <c r="I19" i="4" s="1"/>
  <c r="I31" i="4" s="1"/>
  <c r="X24" i="2"/>
  <c r="X26" i="2" s="1"/>
  <c r="AD26" i="2" s="1"/>
  <c r="X31" i="2"/>
  <c r="AD31" i="2" s="1"/>
  <c r="Z10" i="18176"/>
  <c r="Z5" i="18176" s="1"/>
  <c r="AD10" i="18176"/>
  <c r="AD5" i="18176" s="1"/>
  <c r="M41" i="2"/>
  <c r="X10" i="18176"/>
  <c r="X5" i="18176" s="1"/>
  <c r="O71" i="4"/>
  <c r="T65" i="4"/>
  <c r="U65" i="4" s="1"/>
  <c r="V65" i="4" s="1"/>
  <c r="W65" i="4" s="1"/>
  <c r="X65" i="4" s="1"/>
  <c r="Y65" i="4" s="1"/>
  <c r="Z65" i="4" s="1"/>
  <c r="AA65" i="4" s="1"/>
  <c r="G71" i="4"/>
  <c r="T73" i="4"/>
  <c r="AB31" i="2"/>
  <c r="P10" i="18176"/>
  <c r="P5" i="18176" s="1"/>
  <c r="H12" i="4" s="1"/>
  <c r="AD18" i="2"/>
  <c r="AD19" i="2" s="1"/>
  <c r="AD24" i="2" s="1"/>
  <c r="AD29" i="2" s="1"/>
  <c r="BD81" i="4"/>
  <c r="CG81" i="4"/>
  <c r="AA81" i="4"/>
  <c r="X81" i="4"/>
  <c r="W81" i="4"/>
  <c r="CF81" i="4"/>
  <c r="BH81" i="4"/>
  <c r="Z81" i="4"/>
  <c r="BP81" i="4"/>
  <c r="BT81" i="4"/>
  <c r="BL81" i="4"/>
  <c r="Y81" i="4"/>
  <c r="AZ81" i="4"/>
  <c r="AN81" i="4"/>
  <c r="AB81" i="4"/>
  <c r="AR81" i="4"/>
  <c r="BX81" i="4"/>
  <c r="AD81" i="4"/>
  <c r="V81" i="4"/>
  <c r="AV81" i="4"/>
  <c r="CB81" i="4"/>
  <c r="AC81" i="4"/>
  <c r="U81" i="4"/>
  <c r="T81" i="4"/>
  <c r="V71" i="4"/>
  <c r="U73" i="4"/>
  <c r="X20" i="2"/>
  <c r="Z19" i="2"/>
  <c r="Z20" i="2" s="1"/>
  <c r="Z24" i="2"/>
  <c r="X25" i="2"/>
  <c r="AO81" i="4"/>
  <c r="AS81" i="4"/>
  <c r="AW81" i="4"/>
  <c r="BA81" i="4"/>
  <c r="BE81" i="4"/>
  <c r="BI81" i="4"/>
  <c r="BM81" i="4"/>
  <c r="BQ81" i="4"/>
  <c r="BU81" i="4"/>
  <c r="BY81" i="4"/>
  <c r="CC81" i="4"/>
  <c r="AK81" i="4"/>
  <c r="AI81" i="4"/>
  <c r="AE81" i="4"/>
  <c r="AL81" i="4"/>
  <c r="AP81" i="4"/>
  <c r="AT81" i="4"/>
  <c r="AX81" i="4"/>
  <c r="BB81" i="4"/>
  <c r="BF81" i="4"/>
  <c r="BJ81" i="4"/>
  <c r="BN81" i="4"/>
  <c r="BR81" i="4"/>
  <c r="BV81" i="4"/>
  <c r="BZ81" i="4"/>
  <c r="CD81" i="4"/>
  <c r="T63" i="4"/>
  <c r="AH81" i="4"/>
  <c r="AM81" i="4"/>
  <c r="AQ81" i="4"/>
  <c r="AU81" i="4"/>
  <c r="AY81" i="4"/>
  <c r="BC81" i="4"/>
  <c r="BG81" i="4"/>
  <c r="BK81" i="4"/>
  <c r="BO81" i="4"/>
  <c r="BS81" i="4"/>
  <c r="BW81" i="4"/>
  <c r="CA81" i="4"/>
  <c r="CE81" i="4"/>
  <c r="AG81" i="4"/>
  <c r="AJ81" i="4"/>
  <c r="AF81" i="4"/>
  <c r="H26" i="2"/>
  <c r="H26" i="3" s="1"/>
  <c r="J26" i="2"/>
  <c r="J23" i="4"/>
  <c r="V39" i="2"/>
  <c r="N23" i="4"/>
  <c r="I35" i="4"/>
  <c r="X39" i="2" l="1"/>
  <c r="X40" i="2" s="1"/>
  <c r="X29" i="2"/>
  <c r="X32" i="2"/>
  <c r="W33" i="2" s="1"/>
  <c r="J19" i="4"/>
  <c r="J31" i="4" s="1"/>
  <c r="BX10" i="4" s="1"/>
  <c r="AD33" i="2"/>
  <c r="AD37" i="2" s="1"/>
  <c r="I20" i="4"/>
  <c r="J20" i="4" s="1"/>
  <c r="AB39" i="2"/>
  <c r="AB33" i="2"/>
  <c r="J28" i="2"/>
  <c r="J29" i="2" s="1"/>
  <c r="L30" i="50873"/>
  <c r="L31" i="50873" s="1"/>
  <c r="K27" i="3"/>
  <c r="K28" i="3" s="1"/>
  <c r="AB65" i="4"/>
  <c r="AL77" i="4"/>
  <c r="AJ77" i="4"/>
  <c r="X33" i="2"/>
  <c r="W71" i="4"/>
  <c r="V73" i="4"/>
  <c r="U63" i="4"/>
  <c r="K42" i="2"/>
  <c r="W24" i="2"/>
  <c r="K41" i="2"/>
  <c r="AB24" i="2"/>
  <c r="Z39" i="2"/>
  <c r="Z29" i="2"/>
  <c r="Z26" i="2"/>
  <c r="Z33" i="2"/>
  <c r="I29" i="50873"/>
  <c r="J35" i="4"/>
  <c r="BS84" i="4" s="1"/>
  <c r="BS85" i="4" s="1"/>
  <c r="J24" i="4"/>
  <c r="J36" i="4" s="1"/>
  <c r="BJ10" i="4"/>
  <c r="BK10" i="4"/>
  <c r="BI10" i="4"/>
  <c r="CD9" i="4"/>
  <c r="BF10" i="4"/>
  <c r="BG10" i="4"/>
  <c r="BH10" i="4"/>
  <c r="BE10" i="4"/>
  <c r="BD10" i="4"/>
  <c r="BB10" i="4"/>
  <c r="BB51" i="4" s="1"/>
  <c r="BW9" i="4"/>
  <c r="BL10" i="4"/>
  <c r="BC10" i="4"/>
  <c r="BR9" i="4"/>
  <c r="CF9" i="4"/>
  <c r="BX9" i="4"/>
  <c r="CE9" i="4"/>
  <c r="BN9" i="4"/>
  <c r="BY9" i="4"/>
  <c r="BM9" i="4"/>
  <c r="BO9" i="4"/>
  <c r="CC9" i="4"/>
  <c r="AZ10" i="4"/>
  <c r="BU9" i="4"/>
  <c r="BZ9" i="4"/>
  <c r="BS9" i="4"/>
  <c r="BQ9" i="4"/>
  <c r="BT9" i="4"/>
  <c r="CA9" i="4"/>
  <c r="BV9" i="4"/>
  <c r="CB9" i="4"/>
  <c r="BA10" i="4"/>
  <c r="BP9" i="4"/>
  <c r="CG9" i="4"/>
  <c r="CG15" i="4"/>
  <c r="CA15" i="4"/>
  <c r="BS15" i="4"/>
  <c r="BV15" i="4"/>
  <c r="BQ15" i="4"/>
  <c r="BO15" i="4"/>
  <c r="BE16" i="4"/>
  <c r="BE18" i="4" s="1"/>
  <c r="BE20" i="4" s="1"/>
  <c r="BT15" i="4"/>
  <c r="BJ16" i="4"/>
  <c r="BJ18" i="4" s="1"/>
  <c r="BJ20" i="4" s="1"/>
  <c r="BI16" i="4"/>
  <c r="BI18" i="4" s="1"/>
  <c r="BI20" i="4" s="1"/>
  <c r="BH16" i="4"/>
  <c r="BH18" i="4" s="1"/>
  <c r="BH20" i="4" s="1"/>
  <c r="BF16" i="4"/>
  <c r="BF18" i="4" s="1"/>
  <c r="BF20" i="4" s="1"/>
  <c r="CE15" i="4"/>
  <c r="BR15" i="4"/>
  <c r="BP15" i="4"/>
  <c r="BK16" i="4"/>
  <c r="BK18" i="4" s="1"/>
  <c r="BK20" i="4" s="1"/>
  <c r="BG16" i="4"/>
  <c r="BG18" i="4" s="1"/>
  <c r="BG20" i="4" s="1"/>
  <c r="BB16" i="4"/>
  <c r="BB18" i="4" s="1"/>
  <c r="BB20" i="4" s="1"/>
  <c r="BZ15" i="4"/>
  <c r="BX15" i="4"/>
  <c r="BN15" i="4"/>
  <c r="BC16" i="4"/>
  <c r="BC18" i="4" s="1"/>
  <c r="BC20" i="4" s="1"/>
  <c r="BY15" i="4"/>
  <c r="BD16" i="4"/>
  <c r="BD18" i="4" s="1"/>
  <c r="BD20" i="4" s="1"/>
  <c r="CD15" i="4"/>
  <c r="CB15" i="4"/>
  <c r="BM15" i="4"/>
  <c r="BL16" i="4"/>
  <c r="BL18" i="4" s="1"/>
  <c r="BL20" i="4" s="1"/>
  <c r="CF15" i="4"/>
  <c r="CC15" i="4"/>
  <c r="BW15" i="4"/>
  <c r="BU15" i="4"/>
  <c r="BK84" i="4"/>
  <c r="BK85" i="4" s="1"/>
  <c r="BA16" i="4"/>
  <c r="BA18" i="4" s="1"/>
  <c r="BA20" i="4" s="1"/>
  <c r="BD84" i="4"/>
  <c r="BD85" i="4" s="1"/>
  <c r="BH84" i="4"/>
  <c r="BH85" i="4" s="1"/>
  <c r="N35" i="4"/>
  <c r="BF84" i="4"/>
  <c r="BF85" i="4" s="1"/>
  <c r="AZ16" i="4"/>
  <c r="AZ18" i="4" s="1"/>
  <c r="AZ20" i="4" s="1"/>
  <c r="BL84" i="4"/>
  <c r="BL85" i="4" s="1"/>
  <c r="BA84" i="4"/>
  <c r="BA85" i="4" s="1"/>
  <c r="BC84" i="4"/>
  <c r="BC85" i="4" s="1"/>
  <c r="BJ84" i="4"/>
  <c r="BJ85" i="4" s="1"/>
  <c r="BB84" i="4"/>
  <c r="BB85" i="4" s="1"/>
  <c r="BI84" i="4"/>
  <c r="BI85" i="4" s="1"/>
  <c r="BM84" i="4"/>
  <c r="BM85" i="4" s="1"/>
  <c r="BG84" i="4"/>
  <c r="BG85" i="4" s="1"/>
  <c r="BE84" i="4"/>
  <c r="BE85" i="4" s="1"/>
  <c r="BT10" i="4" l="1"/>
  <c r="BT51" i="4" s="1"/>
  <c r="BS10" i="4"/>
  <c r="CE10" i="4"/>
  <c r="CE51" i="4" s="1"/>
  <c r="CB10" i="4"/>
  <c r="CC10" i="4"/>
  <c r="CC51" i="4" s="1"/>
  <c r="BR10" i="4"/>
  <c r="BU10" i="4"/>
  <c r="BU51" i="4" s="1"/>
  <c r="BV10" i="4"/>
  <c r="BV51" i="4" s="1"/>
  <c r="BO10" i="4"/>
  <c r="BO51" i="4" s="1"/>
  <c r="CG10" i="4"/>
  <c r="CG51" i="4" s="1"/>
  <c r="BP10" i="4"/>
  <c r="BP51" i="4" s="1"/>
  <c r="CF10" i="4"/>
  <c r="CF51" i="4" s="1"/>
  <c r="CA10" i="4"/>
  <c r="CA51" i="4" s="1"/>
  <c r="BM10" i="4"/>
  <c r="BM51" i="4" s="1"/>
  <c r="BW10" i="4"/>
  <c r="BW51" i="4" s="1"/>
  <c r="BY10" i="4"/>
  <c r="BY51" i="4" s="1"/>
  <c r="CD10" i="4"/>
  <c r="CD51" i="4" s="1"/>
  <c r="BQ10" i="4"/>
  <c r="BQ51" i="4" s="1"/>
  <c r="BN10" i="4"/>
  <c r="BN51" i="4" s="1"/>
  <c r="BZ10" i="4"/>
  <c r="I32" i="4"/>
  <c r="CG13" i="4" s="1"/>
  <c r="Z40" i="2"/>
  <c r="I21" i="4"/>
  <c r="I33" i="4" s="1"/>
  <c r="AB37" i="2"/>
  <c r="AB34" i="2"/>
  <c r="AB29" i="2"/>
  <c r="AB26" i="2"/>
  <c r="AB40" i="2" s="1"/>
  <c r="X37" i="2"/>
  <c r="X34" i="2"/>
  <c r="AM77" i="4"/>
  <c r="AL62" i="4"/>
  <c r="AL66" i="4" s="1"/>
  <c r="W156" i="8194"/>
  <c r="W183" i="8194" s="1"/>
  <c r="W184" i="8194" s="1"/>
  <c r="W185" i="8194" s="1"/>
  <c r="W186" i="8194" s="1"/>
  <c r="AL43" i="4"/>
  <c r="AJ62" i="4"/>
  <c r="AJ66" i="4" s="1"/>
  <c r="AI77" i="4"/>
  <c r="AJ43" i="4"/>
  <c r="U156" i="8194"/>
  <c r="U183" i="8194" s="1"/>
  <c r="U184" i="8194" s="1"/>
  <c r="U185" i="8194" s="1"/>
  <c r="U186" i="8194" s="1"/>
  <c r="Z37" i="2"/>
  <c r="Z34" i="2"/>
  <c r="AC65" i="4"/>
  <c r="V63" i="4"/>
  <c r="I59" i="50873"/>
  <c r="B56" i="50873"/>
  <c r="I61" i="50873"/>
  <c r="C55" i="50873"/>
  <c r="G61" i="50873"/>
  <c r="L59" i="50873" s="1"/>
  <c r="F56" i="50873"/>
  <c r="I58" i="50873"/>
  <c r="B64" i="50873"/>
  <c r="G56" i="50873"/>
  <c r="X71" i="4"/>
  <c r="W73" i="4"/>
  <c r="H62" i="2"/>
  <c r="H61" i="2"/>
  <c r="F62" i="2"/>
  <c r="F57" i="2"/>
  <c r="J57" i="2" s="1"/>
  <c r="E57" i="2"/>
  <c r="B57" i="2"/>
  <c r="B53" i="3" s="1"/>
  <c r="BO84" i="4"/>
  <c r="BO85" i="4" s="1"/>
  <c r="CC84" i="4"/>
  <c r="CC85" i="4" s="1"/>
  <c r="BZ84" i="4"/>
  <c r="BZ85" i="4" s="1"/>
  <c r="BN84" i="4"/>
  <c r="BN85" i="4" s="1"/>
  <c r="BW84" i="4"/>
  <c r="BW85" i="4" s="1"/>
  <c r="BR84" i="4"/>
  <c r="BR85" i="4" s="1"/>
  <c r="CG84" i="4"/>
  <c r="CG85" i="4" s="1"/>
  <c r="BV84" i="4"/>
  <c r="BV85" i="4" s="1"/>
  <c r="CA84" i="4"/>
  <c r="CA85" i="4" s="1"/>
  <c r="BX84" i="4"/>
  <c r="BX85" i="4" s="1"/>
  <c r="CB84" i="4"/>
  <c r="CB85" i="4" s="1"/>
  <c r="BU84" i="4"/>
  <c r="BU85" i="4" s="1"/>
  <c r="BQ84" i="4"/>
  <c r="BQ85" i="4" s="1"/>
  <c r="CE84" i="4"/>
  <c r="CE85" i="4" s="1"/>
  <c r="BY84" i="4"/>
  <c r="BY85" i="4" s="1"/>
  <c r="CF84" i="4"/>
  <c r="CF85" i="4" s="1"/>
  <c r="BT84" i="4"/>
  <c r="BT85" i="4" s="1"/>
  <c r="CD84" i="4"/>
  <c r="CD85" i="4" s="1"/>
  <c r="BP84" i="4"/>
  <c r="BP85" i="4" s="1"/>
  <c r="BR51" i="4"/>
  <c r="BG51" i="4"/>
  <c r="BC51" i="4"/>
  <c r="BF51" i="4"/>
  <c r="CF16" i="4"/>
  <c r="CF18" i="4" s="1"/>
  <c r="CF20" i="4" s="1"/>
  <c r="CC16" i="4"/>
  <c r="CC18" i="4" s="1"/>
  <c r="CC20" i="4" s="1"/>
  <c r="BW16" i="4"/>
  <c r="BW18" i="4" s="1"/>
  <c r="BW20" i="4" s="1"/>
  <c r="BU16" i="4"/>
  <c r="BU18" i="4" s="1"/>
  <c r="BU20" i="4" s="1"/>
  <c r="CA16" i="4"/>
  <c r="CA18" i="4" s="1"/>
  <c r="CA20" i="4" s="1"/>
  <c r="BS16" i="4"/>
  <c r="BS18" i="4" s="1"/>
  <c r="BS20" i="4" s="1"/>
  <c r="BV16" i="4"/>
  <c r="BV18" i="4" s="1"/>
  <c r="BV20" i="4" s="1"/>
  <c r="BQ16" i="4"/>
  <c r="BQ18" i="4" s="1"/>
  <c r="BQ20" i="4" s="1"/>
  <c r="BO16" i="4"/>
  <c r="BO18" i="4" s="1"/>
  <c r="BO20" i="4" s="1"/>
  <c r="CG16" i="4"/>
  <c r="CG18" i="4" s="1"/>
  <c r="CG20" i="4" s="1"/>
  <c r="BT16" i="4"/>
  <c r="BT18" i="4" s="1"/>
  <c r="BT20" i="4" s="1"/>
  <c r="CE16" i="4"/>
  <c r="CE18" i="4" s="1"/>
  <c r="CE20" i="4" s="1"/>
  <c r="BR16" i="4"/>
  <c r="BR18" i="4" s="1"/>
  <c r="BR20" i="4" s="1"/>
  <c r="BP16" i="4"/>
  <c r="BP18" i="4" s="1"/>
  <c r="BP20" i="4" s="1"/>
  <c r="BZ16" i="4"/>
  <c r="BZ18" i="4" s="1"/>
  <c r="BZ20" i="4" s="1"/>
  <c r="BX16" i="4"/>
  <c r="BX18" i="4" s="1"/>
  <c r="BX20" i="4" s="1"/>
  <c r="BN16" i="4"/>
  <c r="BN18" i="4" s="1"/>
  <c r="BN20" i="4" s="1"/>
  <c r="BY16" i="4"/>
  <c r="BY18" i="4" s="1"/>
  <c r="BY20" i="4" s="1"/>
  <c r="CD16" i="4"/>
  <c r="CD18" i="4" s="1"/>
  <c r="CD20" i="4" s="1"/>
  <c r="CB16" i="4"/>
  <c r="CB18" i="4" s="1"/>
  <c r="CB20" i="4" s="1"/>
  <c r="BM16" i="4"/>
  <c r="BM18" i="4" s="1"/>
  <c r="BM20" i="4" s="1"/>
  <c r="BL51" i="4"/>
  <c r="BI51" i="4"/>
  <c r="BS51" i="4"/>
  <c r="BK51" i="4"/>
  <c r="BZ51" i="4"/>
  <c r="BD51" i="4"/>
  <c r="BJ51" i="4"/>
  <c r="BA51" i="4"/>
  <c r="BX51" i="4"/>
  <c r="BE51" i="4"/>
  <c r="J32" i="4"/>
  <c r="J21" i="4"/>
  <c r="J33" i="4" s="1"/>
  <c r="CB51" i="4"/>
  <c r="AZ51" i="4"/>
  <c r="BH51" i="4"/>
  <c r="BD14" i="4" l="1"/>
  <c r="BD17" i="4" s="1"/>
  <c r="BD19" i="4" s="1"/>
  <c r="BH82" i="4"/>
  <c r="BH83" i="4" s="1"/>
  <c r="BJ82" i="4"/>
  <c r="BJ83" i="4" s="1"/>
  <c r="BZ13" i="4"/>
  <c r="BI82" i="4"/>
  <c r="BI83" i="4" s="1"/>
  <c r="BM82" i="4"/>
  <c r="BM83" i="4" s="1"/>
  <c r="BK82" i="4"/>
  <c r="BK83" i="4" s="1"/>
  <c r="BG82" i="4"/>
  <c r="BG83" i="4" s="1"/>
  <c r="AZ14" i="4"/>
  <c r="AZ17" i="4" s="1"/>
  <c r="AZ19" i="4" s="1"/>
  <c r="AZ52" i="4" s="1"/>
  <c r="AZ54" i="4" s="1"/>
  <c r="BC92" i="2" s="1"/>
  <c r="BL82" i="4"/>
  <c r="BL83" i="4" s="1"/>
  <c r="BV13" i="4"/>
  <c r="BS13" i="4"/>
  <c r="BL14" i="4"/>
  <c r="BL17" i="4" s="1"/>
  <c r="BL19" i="4" s="1"/>
  <c r="BL52" i="4" s="1"/>
  <c r="BL54" i="4" s="1"/>
  <c r="BC104" i="2" s="1"/>
  <c r="CF13" i="4"/>
  <c r="BI14" i="4"/>
  <c r="BI17" i="4" s="1"/>
  <c r="BI19" i="4" s="1"/>
  <c r="BI52" i="4" s="1"/>
  <c r="BI54" i="4" s="1"/>
  <c r="BC101" i="2" s="1"/>
  <c r="CD13" i="4"/>
  <c r="BJ14" i="4"/>
  <c r="BJ17" i="4" s="1"/>
  <c r="BJ19" i="4" s="1"/>
  <c r="BJ52" i="4" s="1"/>
  <c r="BJ54" i="4" s="1"/>
  <c r="BC102" i="2" s="1"/>
  <c r="BG14" i="4"/>
  <c r="BG17" i="4" s="1"/>
  <c r="BG19" i="4" s="1"/>
  <c r="BG52" i="4" s="1"/>
  <c r="BG54" i="4" s="1"/>
  <c r="BC99" i="2" s="1"/>
  <c r="CE13" i="4"/>
  <c r="BK14" i="4"/>
  <c r="BK17" i="4" s="1"/>
  <c r="BK19" i="4" s="1"/>
  <c r="BK52" i="4" s="1"/>
  <c r="BK54" i="4" s="1"/>
  <c r="BC103" i="2" s="1"/>
  <c r="BE14" i="4"/>
  <c r="BE17" i="4" s="1"/>
  <c r="BE19" i="4" s="1"/>
  <c r="BE52" i="4" s="1"/>
  <c r="BE54" i="4" s="1"/>
  <c r="BC97" i="2" s="1"/>
  <c r="BA82" i="4"/>
  <c r="BA83" i="4" s="1"/>
  <c r="BP13" i="4"/>
  <c r="CA13" i="4"/>
  <c r="BM13" i="4"/>
  <c r="BN13" i="4"/>
  <c r="BY82" i="4"/>
  <c r="BY83" i="4" s="1"/>
  <c r="BE82" i="4"/>
  <c r="BE83" i="4" s="1"/>
  <c r="BR13" i="4"/>
  <c r="BA14" i="4"/>
  <c r="BA17" i="4" s="1"/>
  <c r="BA19" i="4" s="1"/>
  <c r="BA52" i="4" s="1"/>
  <c r="BA54" i="4" s="1"/>
  <c r="BC93" i="2" s="1"/>
  <c r="CB13" i="4"/>
  <c r="BX13" i="4"/>
  <c r="BC82" i="4"/>
  <c r="BC83" i="4" s="1"/>
  <c r="BB14" i="4"/>
  <c r="BB17" i="4" s="1"/>
  <c r="BB19" i="4" s="1"/>
  <c r="BB52" i="4" s="1"/>
  <c r="BB54" i="4" s="1"/>
  <c r="BC94" i="2" s="1"/>
  <c r="BT13" i="4"/>
  <c r="BU13" i="4"/>
  <c r="BC14" i="4"/>
  <c r="BC17" i="4" s="1"/>
  <c r="BC19" i="4" s="1"/>
  <c r="BC52" i="4" s="1"/>
  <c r="BC54" i="4" s="1"/>
  <c r="BC95" i="2" s="1"/>
  <c r="BB82" i="4"/>
  <c r="BB83" i="4" s="1"/>
  <c r="BD82" i="4"/>
  <c r="BD83" i="4" s="1"/>
  <c r="BF14" i="4"/>
  <c r="BF17" i="4" s="1"/>
  <c r="BF19" i="4" s="1"/>
  <c r="BF52" i="4" s="1"/>
  <c r="BF54" i="4" s="1"/>
  <c r="BC98" i="2" s="1"/>
  <c r="BO13" i="4"/>
  <c r="BW13" i="4"/>
  <c r="BY13" i="4"/>
  <c r="BF82" i="4"/>
  <c r="BF83" i="4" s="1"/>
  <c r="BH14" i="4"/>
  <c r="BH17" i="4" s="1"/>
  <c r="BH19" i="4" s="1"/>
  <c r="BH52" i="4" s="1"/>
  <c r="BH54" i="4" s="1"/>
  <c r="BC100" i="2" s="1"/>
  <c r="BQ13" i="4"/>
  <c r="CC13" i="4"/>
  <c r="AD65" i="4"/>
  <c r="AN77" i="4"/>
  <c r="AM62" i="4"/>
  <c r="AM66" i="4" s="1"/>
  <c r="AM43" i="4"/>
  <c r="X156" i="8194"/>
  <c r="X183" i="8194" s="1"/>
  <c r="X184" i="8194" s="1"/>
  <c r="X185" i="8194" s="1"/>
  <c r="X186" i="8194" s="1"/>
  <c r="K11" i="1"/>
  <c r="K58" i="3"/>
  <c r="Y71" i="4"/>
  <c r="X73" i="4"/>
  <c r="AJ27" i="4"/>
  <c r="AJ26" i="4" s="1"/>
  <c r="AY76" i="2"/>
  <c r="AJ46" i="4"/>
  <c r="AJ45" i="4"/>
  <c r="AI62" i="4"/>
  <c r="AI66" i="4" s="1"/>
  <c r="T156" i="8194"/>
  <c r="T183" i="8194" s="1"/>
  <c r="T184" i="8194" s="1"/>
  <c r="T185" i="8194" s="1"/>
  <c r="T186" i="8194" s="1"/>
  <c r="AH77" i="4"/>
  <c r="AI43" i="4"/>
  <c r="B58" i="50873"/>
  <c r="H58" i="50873"/>
  <c r="W63" i="4"/>
  <c r="AL27" i="4"/>
  <c r="AL25" i="4" s="1"/>
  <c r="AL45" i="4"/>
  <c r="AY78" i="2"/>
  <c r="AL46" i="4"/>
  <c r="BU82" i="4"/>
  <c r="BU83" i="4" s="1"/>
  <c r="BT82" i="4"/>
  <c r="BT83" i="4" s="1"/>
  <c r="BN82" i="4"/>
  <c r="BN83" i="4" s="1"/>
  <c r="BW82" i="4"/>
  <c r="BW83" i="4" s="1"/>
  <c r="BR82" i="4"/>
  <c r="BR83" i="4" s="1"/>
  <c r="BV82" i="4"/>
  <c r="BV83" i="4" s="1"/>
  <c r="BX82" i="4"/>
  <c r="BX83" i="4" s="1"/>
  <c r="CG82" i="4"/>
  <c r="CG83" i="4" s="1"/>
  <c r="BP82" i="4"/>
  <c r="BP83" i="4" s="1"/>
  <c r="BS82" i="4"/>
  <c r="BS83" i="4" s="1"/>
  <c r="BZ82" i="4"/>
  <c r="BZ83" i="4" s="1"/>
  <c r="CC82" i="4"/>
  <c r="CC83" i="4" s="1"/>
  <c r="BQ82" i="4"/>
  <c r="BQ83" i="4" s="1"/>
  <c r="CB82" i="4"/>
  <c r="CB83" i="4" s="1"/>
  <c r="CD82" i="4"/>
  <c r="CD83" i="4" s="1"/>
  <c r="BO82" i="4"/>
  <c r="BO83" i="4" s="1"/>
  <c r="CF82" i="4"/>
  <c r="CF83" i="4" s="1"/>
  <c r="CE14" i="4"/>
  <c r="BR14" i="4"/>
  <c r="BP14" i="4"/>
  <c r="BZ14" i="4"/>
  <c r="BZ17" i="4" s="1"/>
  <c r="BZ19" i="4" s="1"/>
  <c r="BX14" i="4"/>
  <c r="BN14" i="4"/>
  <c r="BY14" i="4"/>
  <c r="CD14" i="4"/>
  <c r="CB14" i="4"/>
  <c r="BM14" i="4"/>
  <c r="CG14" i="4"/>
  <c r="CG17" i="4" s="1"/>
  <c r="CG19" i="4" s="1"/>
  <c r="CF14" i="4"/>
  <c r="CC14" i="4"/>
  <c r="BW14" i="4"/>
  <c r="BW17" i="4" s="1"/>
  <c r="BW19" i="4" s="1"/>
  <c r="BU14" i="4"/>
  <c r="CA14" i="4"/>
  <c r="BS14" i="4"/>
  <c r="BS17" i="4" s="1"/>
  <c r="BS19" i="4" s="1"/>
  <c r="BV14" i="4"/>
  <c r="BV17" i="4" s="1"/>
  <c r="BV19" i="4" s="1"/>
  <c r="BQ14" i="4"/>
  <c r="BO14" i="4"/>
  <c r="BT14" i="4"/>
  <c r="BD52" i="4"/>
  <c r="BD54" i="4" s="1"/>
  <c r="BC96" i="2" s="1"/>
  <c r="CA82" i="4"/>
  <c r="CA83" i="4" s="1"/>
  <c r="CE82" i="4"/>
  <c r="CE83" i="4" s="1"/>
  <c r="BR17" i="4" l="1"/>
  <c r="BR19" i="4" s="1"/>
  <c r="BX17" i="4"/>
  <c r="BX19" i="4" s="1"/>
  <c r="BQ17" i="4"/>
  <c r="BQ19" i="4" s="1"/>
  <c r="CD17" i="4"/>
  <c r="CD19" i="4" s="1"/>
  <c r="CA17" i="4"/>
  <c r="CA19" i="4" s="1"/>
  <c r="BN17" i="4"/>
  <c r="BN19" i="4" s="1"/>
  <c r="BN52" i="4" s="1"/>
  <c r="BN54" i="4" s="1"/>
  <c r="BC106" i="2" s="1"/>
  <c r="BU17" i="4"/>
  <c r="BU19" i="4" s="1"/>
  <c r="BU52" i="4" s="1"/>
  <c r="BU54" i="4" s="1"/>
  <c r="BC113" i="2" s="1"/>
  <c r="BO17" i="4"/>
  <c r="BO19" i="4" s="1"/>
  <c r="BO52" i="4" s="1"/>
  <c r="BO54" i="4" s="1"/>
  <c r="BC107" i="2" s="1"/>
  <c r="CB17" i="4"/>
  <c r="CB19" i="4" s="1"/>
  <c r="CB52" i="4" s="1"/>
  <c r="CB54" i="4" s="1"/>
  <c r="BC120" i="2" s="1"/>
  <c r="BP17" i="4"/>
  <c r="BP19" i="4" s="1"/>
  <c r="BP52" i="4" s="1"/>
  <c r="BP54" i="4" s="1"/>
  <c r="BC108" i="2" s="1"/>
  <c r="CC17" i="4"/>
  <c r="CC19" i="4" s="1"/>
  <c r="CC52" i="4" s="1"/>
  <c r="CC54" i="4" s="1"/>
  <c r="BC121" i="2" s="1"/>
  <c r="CF17" i="4"/>
  <c r="CF19" i="4" s="1"/>
  <c r="CE17" i="4"/>
  <c r="CE19" i="4" s="1"/>
  <c r="CE52" i="4" s="1"/>
  <c r="CE54" i="4" s="1"/>
  <c r="BC123" i="2" s="1"/>
  <c r="BM17" i="4"/>
  <c r="BM19" i="4" s="1"/>
  <c r="BM52" i="4" s="1"/>
  <c r="BM54" i="4" s="1"/>
  <c r="BC105" i="2" s="1"/>
  <c r="BY17" i="4"/>
  <c r="BY19" i="4" s="1"/>
  <c r="BY52" i="4" s="1"/>
  <c r="BY54" i="4" s="1"/>
  <c r="BC117" i="2" s="1"/>
  <c r="BT17" i="4"/>
  <c r="BT19" i="4" s="1"/>
  <c r="BT52" i="4" s="1"/>
  <c r="BT54" i="4" s="1"/>
  <c r="BC112" i="2" s="1"/>
  <c r="AJ47" i="4"/>
  <c r="BB76" i="2" s="1"/>
  <c r="X63" i="4"/>
  <c r="AL24" i="4"/>
  <c r="AM46" i="4"/>
  <c r="AM45" i="4"/>
  <c r="AM27" i="4"/>
  <c r="AM26" i="4" s="1"/>
  <c r="AY79" i="2"/>
  <c r="AL26" i="4"/>
  <c r="AI46" i="4"/>
  <c r="AI45" i="4"/>
  <c r="AI27" i="4"/>
  <c r="AI26" i="4" s="1"/>
  <c r="AY75" i="2"/>
  <c r="AJ24" i="4"/>
  <c r="AJ25" i="4"/>
  <c r="AO77" i="4"/>
  <c r="Y156" i="8194"/>
  <c r="Y183" i="8194" s="1"/>
  <c r="Y184" i="8194" s="1"/>
  <c r="Y185" i="8194" s="1"/>
  <c r="Y186" i="8194" s="1"/>
  <c r="AN62" i="4"/>
  <c r="AN66" i="4" s="1"/>
  <c r="AN43" i="4"/>
  <c r="AH62" i="4"/>
  <c r="AH66" i="4" s="1"/>
  <c r="S156" i="8194"/>
  <c r="S183" i="8194" s="1"/>
  <c r="S184" i="8194" s="1"/>
  <c r="S185" i="8194" s="1"/>
  <c r="S186" i="8194" s="1"/>
  <c r="AG77" i="4"/>
  <c r="AH43" i="4"/>
  <c r="AL47" i="4"/>
  <c r="BB78" i="2" s="1"/>
  <c r="Z71" i="4"/>
  <c r="Y73" i="4"/>
  <c r="AE65" i="4"/>
  <c r="BQ52" i="4"/>
  <c r="BQ54" i="4" s="1"/>
  <c r="BC109" i="2" s="1"/>
  <c r="CF52" i="4"/>
  <c r="CF54" i="4" s="1"/>
  <c r="BC124" i="2" s="1"/>
  <c r="CA52" i="4"/>
  <c r="CA54" i="4" s="1"/>
  <c r="BC119" i="2" s="1"/>
  <c r="CG52" i="4"/>
  <c r="CG54" i="4" s="1"/>
  <c r="BC125" i="2" s="1"/>
  <c r="BW52" i="4"/>
  <c r="BW54" i="4" s="1"/>
  <c r="BC115" i="2" s="1"/>
  <c r="BX52" i="4"/>
  <c r="BX54" i="4" s="1"/>
  <c r="BC116" i="2" s="1"/>
  <c r="BV52" i="4"/>
  <c r="BV54" i="4" s="1"/>
  <c r="BC114" i="2" s="1"/>
  <c r="BS52" i="4"/>
  <c r="BS54" i="4" s="1"/>
  <c r="BC111" i="2" s="1"/>
  <c r="BZ52" i="4"/>
  <c r="BZ54" i="4" s="1"/>
  <c r="BC118" i="2" s="1"/>
  <c r="BR52" i="4"/>
  <c r="BR54" i="4" s="1"/>
  <c r="BC110" i="2" s="1"/>
  <c r="CD52" i="4"/>
  <c r="CD54" i="4" s="1"/>
  <c r="BC122" i="2" s="1"/>
  <c r="AI47" i="4" l="1"/>
  <c r="BB75" i="2" s="1"/>
  <c r="AM47" i="4"/>
  <c r="BB79" i="2" s="1"/>
  <c r="AJ44" i="4"/>
  <c r="AL44" i="4"/>
  <c r="AY74" i="2"/>
  <c r="AH46" i="4"/>
  <c r="AH27" i="4"/>
  <c r="AH25" i="4" s="1"/>
  <c r="AH45" i="4"/>
  <c r="AM24" i="4"/>
  <c r="AM25" i="4"/>
  <c r="AF65" i="4"/>
  <c r="AN46" i="4"/>
  <c r="AN45" i="4"/>
  <c r="AN47" i="4" s="1"/>
  <c r="BB80" i="2" s="1"/>
  <c r="AY80" i="2"/>
  <c r="AN27" i="4"/>
  <c r="AN24" i="4" s="1"/>
  <c r="AI24" i="4"/>
  <c r="AI25" i="4"/>
  <c r="AG62" i="4"/>
  <c r="AG66" i="4" s="1"/>
  <c r="AG43" i="4"/>
  <c r="AF77" i="4"/>
  <c r="R156" i="8194"/>
  <c r="R183" i="8194" s="1"/>
  <c r="R184" i="8194" s="1"/>
  <c r="R185" i="8194" s="1"/>
  <c r="R186" i="8194" s="1"/>
  <c r="AA71" i="4"/>
  <c r="Z73" i="4"/>
  <c r="AP77" i="4"/>
  <c r="AO62" i="4"/>
  <c r="AO66" i="4" s="1"/>
  <c r="Z156" i="8194"/>
  <c r="Z183" i="8194" s="1"/>
  <c r="Z184" i="8194" s="1"/>
  <c r="Z185" i="8194" s="1"/>
  <c r="Z186" i="8194" s="1"/>
  <c r="AO43" i="4"/>
  <c r="Y63" i="4"/>
  <c r="BC130" i="2" a="1"/>
  <c r="BC130" i="2" s="1"/>
  <c r="BC129" i="2" a="1"/>
  <c r="BC129" i="2" s="1"/>
  <c r="AH47" i="4" l="1"/>
  <c r="BB74" i="2" s="1"/>
  <c r="AH24" i="4"/>
  <c r="AH26" i="4"/>
  <c r="AM44" i="4"/>
  <c r="AB71" i="4"/>
  <c r="AA73" i="4"/>
  <c r="AN26" i="4"/>
  <c r="AN25" i="4"/>
  <c r="Z63" i="4"/>
  <c r="Q156" i="8194"/>
  <c r="Q183" i="8194" s="1"/>
  <c r="Q184" i="8194" s="1"/>
  <c r="Q185" i="8194" s="1"/>
  <c r="Q186" i="8194" s="1"/>
  <c r="AF62" i="4"/>
  <c r="AF66" i="4" s="1"/>
  <c r="AF43" i="4"/>
  <c r="AE77" i="4"/>
  <c r="AY81" i="2"/>
  <c r="AO46" i="4"/>
  <c r="AO45" i="4"/>
  <c r="AO27" i="4"/>
  <c r="AG46" i="4"/>
  <c r="AG27" i="4"/>
  <c r="AG26" i="4" s="1"/>
  <c r="AG45" i="4"/>
  <c r="AY73" i="2"/>
  <c r="AG65" i="4"/>
  <c r="AF67" i="4"/>
  <c r="AQ77" i="4"/>
  <c r="AA156" i="8194"/>
  <c r="AA183" i="8194" s="1"/>
  <c r="AA184" i="8194" s="1"/>
  <c r="AA185" i="8194" s="1"/>
  <c r="AA186" i="8194" s="1"/>
  <c r="AP62" i="4"/>
  <c r="AP66" i="4" s="1"/>
  <c r="AP43" i="4"/>
  <c r="AI44" i="4"/>
  <c r="AH44" i="4" l="1"/>
  <c r="AO47" i="4"/>
  <c r="BB81" i="2" s="1"/>
  <c r="AN44" i="4"/>
  <c r="AG47" i="4"/>
  <c r="BB73" i="2" s="1"/>
  <c r="AA63" i="4"/>
  <c r="AO24" i="4"/>
  <c r="AO25" i="4"/>
  <c r="AG67" i="4"/>
  <c r="AH65" i="4"/>
  <c r="AP46" i="4"/>
  <c r="AP45" i="4"/>
  <c r="AY82" i="2"/>
  <c r="AP27" i="4"/>
  <c r="AP25" i="4" s="1"/>
  <c r="AG24" i="4"/>
  <c r="AG25" i="4"/>
  <c r="AF27" i="4"/>
  <c r="AY72" i="2"/>
  <c r="AF45" i="4"/>
  <c r="AF46" i="4"/>
  <c r="AD77" i="4"/>
  <c r="P156" i="8194"/>
  <c r="P183" i="8194" s="1"/>
  <c r="P184" i="8194" s="1"/>
  <c r="P185" i="8194" s="1"/>
  <c r="P186" i="8194" s="1"/>
  <c r="AE62" i="4"/>
  <c r="AE66" i="4" s="1"/>
  <c r="AE67" i="4" s="1"/>
  <c r="AE43" i="4"/>
  <c r="AC71" i="4"/>
  <c r="AB73" i="4"/>
  <c r="AR77" i="4"/>
  <c r="AQ62" i="4"/>
  <c r="AQ66" i="4" s="1"/>
  <c r="AQ43" i="4"/>
  <c r="AB156" i="8194"/>
  <c r="AB183" i="8194" s="1"/>
  <c r="AB184" i="8194" s="1"/>
  <c r="AB185" i="8194" s="1"/>
  <c r="AB186" i="8194" s="1"/>
  <c r="AO26" i="4"/>
  <c r="AP24" i="4" l="1"/>
  <c r="AP26" i="4"/>
  <c r="AP47" i="4"/>
  <c r="BB82" i="2" s="1"/>
  <c r="AI65" i="4"/>
  <c r="AH67" i="4"/>
  <c r="AD71" i="4"/>
  <c r="AC73" i="4"/>
  <c r="AF24" i="4"/>
  <c r="AF25" i="4"/>
  <c r="AG44" i="4"/>
  <c r="AY71" i="2"/>
  <c r="AE46" i="4"/>
  <c r="AE27" i="4"/>
  <c r="AE26" i="4" s="1"/>
  <c r="AE45" i="4"/>
  <c r="AE47" i="4" s="1"/>
  <c r="BB71" i="2" s="1"/>
  <c r="AO44" i="4"/>
  <c r="AQ27" i="4"/>
  <c r="AQ25" i="4" s="1"/>
  <c r="AQ46" i="4"/>
  <c r="AQ45" i="4"/>
  <c r="AY83" i="2"/>
  <c r="AD43" i="4"/>
  <c r="AC77" i="4"/>
  <c r="AD62" i="4"/>
  <c r="AD66" i="4" s="1"/>
  <c r="AD67" i="4" s="1"/>
  <c r="O156" i="8194"/>
  <c r="O183" i="8194" s="1"/>
  <c r="O184" i="8194" s="1"/>
  <c r="O185" i="8194" s="1"/>
  <c r="O186" i="8194" s="1"/>
  <c r="AF26" i="4"/>
  <c r="AS77" i="4"/>
  <c r="AR62" i="4"/>
  <c r="AR66" i="4" s="1"/>
  <c r="AC156" i="8194"/>
  <c r="AC183" i="8194" s="1"/>
  <c r="AC184" i="8194" s="1"/>
  <c r="AC185" i="8194" s="1"/>
  <c r="AC186" i="8194" s="1"/>
  <c r="AR43" i="4"/>
  <c r="AF47" i="4"/>
  <c r="BB72" i="2" s="1"/>
  <c r="AB63" i="4"/>
  <c r="AP44" i="4" l="1"/>
  <c r="AF44" i="4"/>
  <c r="AY84" i="2"/>
  <c r="AR27" i="4"/>
  <c r="AR24" i="4" s="1"/>
  <c r="AR46" i="4"/>
  <c r="AR45" i="4"/>
  <c r="AR47" i="4" s="1"/>
  <c r="BB84" i="2" s="1"/>
  <c r="AD46" i="4"/>
  <c r="AD45" i="4"/>
  <c r="AD27" i="4"/>
  <c r="AD26" i="4" s="1"/>
  <c r="AY70" i="2"/>
  <c r="AC63" i="4"/>
  <c r="AE71" i="4"/>
  <c r="AD73" i="4"/>
  <c r="AQ24" i="4"/>
  <c r="AE24" i="4"/>
  <c r="AE25" i="4"/>
  <c r="AQ26" i="4"/>
  <c r="AT77" i="4"/>
  <c r="AD156" i="8194"/>
  <c r="AD183" i="8194" s="1"/>
  <c r="AD184" i="8194" s="1"/>
  <c r="AD185" i="8194" s="1"/>
  <c r="AD186" i="8194" s="1"/>
  <c r="AS62" i="4"/>
  <c r="AS66" i="4" s="1"/>
  <c r="AS43" i="4"/>
  <c r="AJ65" i="4"/>
  <c r="AI67" i="4"/>
  <c r="AC62" i="4"/>
  <c r="AC66" i="4" s="1"/>
  <c r="AC67" i="4" s="1"/>
  <c r="N156" i="8194"/>
  <c r="N183" i="8194" s="1"/>
  <c r="N184" i="8194" s="1"/>
  <c r="N185" i="8194" s="1"/>
  <c r="N186" i="8194" s="1"/>
  <c r="AB77" i="4"/>
  <c r="AC43" i="4"/>
  <c r="AQ47" i="4"/>
  <c r="BB83" i="2" s="1"/>
  <c r="AD47" i="4" l="1"/>
  <c r="BB70" i="2" s="1"/>
  <c r="AQ44" i="4"/>
  <c r="AE44" i="4"/>
  <c r="AF71" i="4"/>
  <c r="AE73" i="4"/>
  <c r="M156" i="8194"/>
  <c r="M183" i="8194" s="1"/>
  <c r="M184" i="8194" s="1"/>
  <c r="M185" i="8194" s="1"/>
  <c r="M186" i="8194" s="1"/>
  <c r="AB43" i="4"/>
  <c r="AB62" i="4"/>
  <c r="AB66" i="4" s="1"/>
  <c r="AB67" i="4" s="1"/>
  <c r="AB64" i="4" s="1"/>
  <c r="AA77" i="4"/>
  <c r="AU77" i="4"/>
  <c r="AT43" i="4"/>
  <c r="AT62" i="4"/>
  <c r="AT66" i="4" s="1"/>
  <c r="AE156" i="8194"/>
  <c r="AE183" i="8194" s="1"/>
  <c r="AE184" i="8194" s="1"/>
  <c r="AE185" i="8194" s="1"/>
  <c r="AE186" i="8194" s="1"/>
  <c r="AD63" i="4"/>
  <c r="AC64" i="4"/>
  <c r="AK65" i="4"/>
  <c r="AJ67" i="4"/>
  <c r="AS46" i="4"/>
  <c r="AS45" i="4"/>
  <c r="AY85" i="2"/>
  <c r="AS27" i="4"/>
  <c r="AS26" i="4" s="1"/>
  <c r="AR26" i="4"/>
  <c r="AR25" i="4"/>
  <c r="AC27" i="4"/>
  <c r="AY69" i="2"/>
  <c r="AC46" i="4"/>
  <c r="AC45" i="4"/>
  <c r="AD24" i="4"/>
  <c r="AD25" i="4"/>
  <c r="AR44" i="4" l="1"/>
  <c r="AC47" i="4"/>
  <c r="BB69" i="2" s="1"/>
  <c r="AV77" i="4"/>
  <c r="AU62" i="4"/>
  <c r="AU66" i="4" s="1"/>
  <c r="AU43" i="4"/>
  <c r="AF156" i="8194"/>
  <c r="AF183" i="8194" s="1"/>
  <c r="AF184" i="8194" s="1"/>
  <c r="AF185" i="8194" s="1"/>
  <c r="AF186" i="8194" s="1"/>
  <c r="Z77" i="4"/>
  <c r="L156" i="8194"/>
  <c r="L183" i="8194" s="1"/>
  <c r="L184" i="8194" s="1"/>
  <c r="L185" i="8194" s="1"/>
  <c r="L186" i="8194" s="1"/>
  <c r="AA62" i="4"/>
  <c r="AA66" i="4" s="1"/>
  <c r="AA67" i="4" s="1"/>
  <c r="AA64" i="4" s="1"/>
  <c r="AA43" i="4"/>
  <c r="AD44" i="4"/>
  <c r="AC26" i="4"/>
  <c r="AC25" i="4"/>
  <c r="AL65" i="4"/>
  <c r="AK67" i="4"/>
  <c r="AY68" i="2"/>
  <c r="AB27" i="4"/>
  <c r="AB25" i="4" s="1"/>
  <c r="AB46" i="4"/>
  <c r="AB45" i="4"/>
  <c r="AC24" i="4"/>
  <c r="AS24" i="4"/>
  <c r="AS25" i="4"/>
  <c r="AG71" i="4"/>
  <c r="AF73" i="4"/>
  <c r="AE63" i="4"/>
  <c r="AD64" i="4"/>
  <c r="AS47" i="4"/>
  <c r="BB85" i="2" s="1"/>
  <c r="AT46" i="4"/>
  <c r="AY86" i="2"/>
  <c r="AT45" i="4"/>
  <c r="AT47" i="4" s="1"/>
  <c r="BB86" i="2" s="1"/>
  <c r="AT27" i="4"/>
  <c r="AT26" i="4" s="1"/>
  <c r="AC44" i="4" l="1"/>
  <c r="AT24" i="4"/>
  <c r="AT25" i="4"/>
  <c r="AH71" i="4"/>
  <c r="AG73" i="4"/>
  <c r="AB26" i="4"/>
  <c r="AU45" i="4"/>
  <c r="AU27" i="4"/>
  <c r="AU25" i="4" s="1"/>
  <c r="AY87" i="2"/>
  <c r="AU46" i="4"/>
  <c r="AS44" i="4"/>
  <c r="Z62" i="4"/>
  <c r="Z66" i="4" s="1"/>
  <c r="Z67" i="4" s="1"/>
  <c r="Z64" i="4" s="1"/>
  <c r="Y77" i="4"/>
  <c r="Z43" i="4"/>
  <c r="K156" i="8194"/>
  <c r="K183" i="8194" s="1"/>
  <c r="K184" i="8194" s="1"/>
  <c r="K185" i="8194" s="1"/>
  <c r="K186" i="8194" s="1"/>
  <c r="AB24" i="4"/>
  <c r="AA46" i="4"/>
  <c r="AA45" i="4"/>
  <c r="AA27" i="4"/>
  <c r="AA25" i="4" s="1"/>
  <c r="AY67" i="2"/>
  <c r="AM65" i="4"/>
  <c r="AL67" i="4"/>
  <c r="AF63" i="4"/>
  <c r="AE64" i="4"/>
  <c r="AB47" i="4"/>
  <c r="BB68" i="2" s="1"/>
  <c r="AW77" i="4"/>
  <c r="AV62" i="4"/>
  <c r="AV66" i="4" s="1"/>
  <c r="AV43" i="4"/>
  <c r="AG156" i="8194"/>
  <c r="AG183" i="8194" s="1"/>
  <c r="AG184" i="8194" s="1"/>
  <c r="AG185" i="8194" s="1"/>
  <c r="AG186" i="8194" s="1"/>
  <c r="AA24" i="4" l="1"/>
  <c r="AA26" i="4"/>
  <c r="AA47" i="4"/>
  <c r="BB67" i="2" s="1"/>
  <c r="AU47" i="4"/>
  <c r="BB87" i="2" s="1"/>
  <c r="AN65" i="4"/>
  <c r="AM67" i="4"/>
  <c r="Z45" i="4"/>
  <c r="Z27" i="4"/>
  <c r="Z25" i="4" s="1"/>
  <c r="AY66" i="2"/>
  <c r="Z46" i="4"/>
  <c r="AX77" i="4"/>
  <c r="AW62" i="4"/>
  <c r="AW66" i="4" s="1"/>
  <c r="AH156" i="8194"/>
  <c r="AH183" i="8194" s="1"/>
  <c r="AH184" i="8194" s="1"/>
  <c r="AH185" i="8194" s="1"/>
  <c r="AH186" i="8194" s="1"/>
  <c r="AW43" i="4"/>
  <c r="AU26" i="4"/>
  <c r="AI71" i="4"/>
  <c r="AH73" i="4"/>
  <c r="AY88" i="2"/>
  <c r="AV46" i="4"/>
  <c r="AV45" i="4"/>
  <c r="AV27" i="4"/>
  <c r="AV25" i="4" s="1"/>
  <c r="AG63" i="4"/>
  <c r="AF64" i="4"/>
  <c r="AU24" i="4"/>
  <c r="X77" i="4"/>
  <c r="J156" i="8194"/>
  <c r="J183" i="8194" s="1"/>
  <c r="J184" i="8194" s="1"/>
  <c r="J185" i="8194" s="1"/>
  <c r="J186" i="8194" s="1"/>
  <c r="Y43" i="4"/>
  <c r="Y62" i="4"/>
  <c r="Y66" i="4" s="1"/>
  <c r="Y67" i="4" s="1"/>
  <c r="Y64" i="4" s="1"/>
  <c r="AB44" i="4"/>
  <c r="AT44" i="4"/>
  <c r="AA44" i="4" l="1"/>
  <c r="Z26" i="4"/>
  <c r="AV26" i="4"/>
  <c r="AU44" i="4"/>
  <c r="AV47" i="4"/>
  <c r="BB88" i="2" s="1"/>
  <c r="Z24" i="4"/>
  <c r="Z44" i="4" s="1"/>
  <c r="AJ71" i="4"/>
  <c r="AI73" i="4"/>
  <c r="AV24" i="4"/>
  <c r="AW46" i="4"/>
  <c r="AY89" i="2"/>
  <c r="AW45" i="4"/>
  <c r="AW47" i="4" s="1"/>
  <c r="BB89" i="2" s="1"/>
  <c r="AW27" i="4"/>
  <c r="AW25" i="4" s="1"/>
  <c r="Z47" i="4"/>
  <c r="BB66" i="2" s="1"/>
  <c r="AH63" i="4"/>
  <c r="AG64" i="4"/>
  <c r="Y27" i="4"/>
  <c r="AY65" i="2"/>
  <c r="Y46" i="4"/>
  <c r="Y45" i="4"/>
  <c r="I156" i="8194"/>
  <c r="I183" i="8194" s="1"/>
  <c r="I184" i="8194" s="1"/>
  <c r="I185" i="8194" s="1"/>
  <c r="I186" i="8194" s="1"/>
  <c r="W77" i="4"/>
  <c r="X43" i="4"/>
  <c r="X62" i="4"/>
  <c r="X66" i="4" s="1"/>
  <c r="X67" i="4" s="1"/>
  <c r="X64" i="4" s="1"/>
  <c r="AX62" i="4"/>
  <c r="AX66" i="4" s="1"/>
  <c r="AY77" i="4"/>
  <c r="AI156" i="8194"/>
  <c r="AI183" i="8194" s="1"/>
  <c r="AI184" i="8194" s="1"/>
  <c r="AI185" i="8194" s="1"/>
  <c r="AI186" i="8194" s="1"/>
  <c r="AX43" i="4"/>
  <c r="AO65" i="4"/>
  <c r="AN67" i="4"/>
  <c r="AV44" i="4" l="1"/>
  <c r="Y47" i="4"/>
  <c r="BB65" i="2" s="1"/>
  <c r="AW24" i="4"/>
  <c r="X27" i="4"/>
  <c r="X24" i="4" s="1"/>
  <c r="X46" i="4"/>
  <c r="X45" i="4"/>
  <c r="AY64" i="2"/>
  <c r="Y24" i="4"/>
  <c r="Y25" i="4"/>
  <c r="W43" i="4"/>
  <c r="V77" i="4"/>
  <c r="W62" i="4"/>
  <c r="W66" i="4" s="1"/>
  <c r="W67" i="4" s="1"/>
  <c r="W64" i="4" s="1"/>
  <c r="H156" i="8194"/>
  <c r="H183" i="8194" s="1"/>
  <c r="H184" i="8194" s="1"/>
  <c r="H185" i="8194" s="1"/>
  <c r="H186" i="8194" s="1"/>
  <c r="AI63" i="4"/>
  <c r="AH64" i="4"/>
  <c r="AO67" i="4"/>
  <c r="AP65" i="4"/>
  <c r="AY62" i="4"/>
  <c r="AY66" i="4" s="1"/>
  <c r="AZ77" i="4"/>
  <c r="AJ156" i="8194"/>
  <c r="AJ183" i="8194" s="1"/>
  <c r="AJ184" i="8194" s="1"/>
  <c r="AJ185" i="8194" s="1"/>
  <c r="AJ186" i="8194" s="1"/>
  <c r="AY43" i="4"/>
  <c r="AX27" i="4"/>
  <c r="AX45" i="4"/>
  <c r="AX46" i="4"/>
  <c r="AY90" i="2"/>
  <c r="Y26" i="4"/>
  <c r="AW26" i="4"/>
  <c r="AJ73" i="4"/>
  <c r="AK71" i="4"/>
  <c r="X47" i="4" l="1"/>
  <c r="BB64" i="2" s="1"/>
  <c r="AW44" i="4"/>
  <c r="AQ65" i="4"/>
  <c r="AP67" i="4"/>
  <c r="AX47" i="4"/>
  <c r="BB90" i="2" s="1"/>
  <c r="AL71" i="4"/>
  <c r="AK73" i="4"/>
  <c r="AJ63" i="4"/>
  <c r="AI64" i="4"/>
  <c r="Y44" i="4"/>
  <c r="AX24" i="4"/>
  <c r="AX25" i="4"/>
  <c r="AY27" i="4"/>
  <c r="AY24" i="4" s="1"/>
  <c r="AY46" i="4"/>
  <c r="AY45" i="4"/>
  <c r="AY91" i="2"/>
  <c r="V62" i="4"/>
  <c r="V66" i="4" s="1"/>
  <c r="V67" i="4" s="1"/>
  <c r="V64" i="4" s="1"/>
  <c r="U77" i="4"/>
  <c r="V43" i="4"/>
  <c r="G156" i="8194"/>
  <c r="G183" i="8194" s="1"/>
  <c r="G184" i="8194" s="1"/>
  <c r="G185" i="8194" s="1"/>
  <c r="G186" i="8194" s="1"/>
  <c r="X26" i="4"/>
  <c r="X25" i="4"/>
  <c r="BA77" i="4"/>
  <c r="AZ62" i="4"/>
  <c r="AZ66" i="4" s="1"/>
  <c r="AZ43" i="4"/>
  <c r="AK156" i="8194"/>
  <c r="AK183" i="8194" s="1"/>
  <c r="AK184" i="8194" s="1"/>
  <c r="AK185" i="8194" s="1"/>
  <c r="AK186" i="8194" s="1"/>
  <c r="AX26" i="4"/>
  <c r="W27" i="4"/>
  <c r="W24" i="4" s="1"/>
  <c r="W46" i="4"/>
  <c r="W45" i="4"/>
  <c r="AY63" i="2"/>
  <c r="W47" i="4" l="1"/>
  <c r="BB63" i="2" s="1"/>
  <c r="X44" i="4"/>
  <c r="AY47" i="4"/>
  <c r="BB91" i="2" s="1"/>
  <c r="BB77" i="4"/>
  <c r="BA62" i="4"/>
  <c r="BA66" i="4" s="1"/>
  <c r="BA43" i="4"/>
  <c r="AL156" i="8194"/>
  <c r="AL183" i="8194" s="1"/>
  <c r="AL184" i="8194" s="1"/>
  <c r="AL185" i="8194" s="1"/>
  <c r="AL186" i="8194" s="1"/>
  <c r="AM71" i="4"/>
  <c r="AL73" i="4"/>
  <c r="AY26" i="4"/>
  <c r="AY25" i="4"/>
  <c r="AX44" i="4"/>
  <c r="AK63" i="4"/>
  <c r="AJ64" i="4"/>
  <c r="W26" i="4"/>
  <c r="W25" i="4"/>
  <c r="V46" i="4"/>
  <c r="V45" i="4"/>
  <c r="V27" i="4"/>
  <c r="V25" i="4" s="1"/>
  <c r="AY62" i="2"/>
  <c r="F156" i="8194"/>
  <c r="F183" i="8194" s="1"/>
  <c r="F184" i="8194" s="1"/>
  <c r="F185" i="8194" s="1"/>
  <c r="F186" i="8194" s="1"/>
  <c r="U62" i="4"/>
  <c r="U66" i="4" s="1"/>
  <c r="U67" i="4" s="1"/>
  <c r="U64" i="4" s="1"/>
  <c r="T77" i="4"/>
  <c r="U43" i="4"/>
  <c r="AY92" i="2"/>
  <c r="AZ46" i="4"/>
  <c r="AZ27" i="4"/>
  <c r="AZ26" i="4" s="1"/>
  <c r="AZ45" i="4"/>
  <c r="AR65" i="4"/>
  <c r="AQ67" i="4"/>
  <c r="V47" i="4" l="1"/>
  <c r="BB62" i="2" s="1"/>
  <c r="AZ47" i="4"/>
  <c r="BB92" i="2" s="1"/>
  <c r="AY44" i="4"/>
  <c r="W44" i="4"/>
  <c r="V24" i="4"/>
  <c r="V26" i="4"/>
  <c r="AS65" i="4"/>
  <c r="AR67" i="4"/>
  <c r="AN71" i="4"/>
  <c r="AM73" i="4"/>
  <c r="AL63" i="4"/>
  <c r="AK64" i="4"/>
  <c r="BA27" i="4"/>
  <c r="BA26" i="4" s="1"/>
  <c r="AY93" i="2"/>
  <c r="BA46" i="4"/>
  <c r="BA45" i="4"/>
  <c r="AZ24" i="4"/>
  <c r="AZ25" i="4"/>
  <c r="U27" i="4"/>
  <c r="U46" i="4"/>
  <c r="U45" i="4"/>
  <c r="AY61" i="2"/>
  <c r="T43" i="4"/>
  <c r="E156" i="8194"/>
  <c r="E183" i="8194" s="1"/>
  <c r="E184" i="8194" s="1"/>
  <c r="E185" i="8194" s="1"/>
  <c r="T62" i="4"/>
  <c r="T66" i="4" s="1"/>
  <c r="T67" i="4" s="1"/>
  <c r="T64" i="4" s="1"/>
  <c r="BB62" i="4"/>
  <c r="BB66" i="4" s="1"/>
  <c r="BC77" i="4"/>
  <c r="AM156" i="8194"/>
  <c r="AM183" i="8194" s="1"/>
  <c r="AM184" i="8194" s="1"/>
  <c r="AM185" i="8194" s="1"/>
  <c r="AM186" i="8194" s="1"/>
  <c r="BB43" i="4"/>
  <c r="BA47" i="4" l="1"/>
  <c r="BB93" i="2" s="1"/>
  <c r="U47" i="4"/>
  <c r="BB61" i="2" s="1"/>
  <c r="V44" i="4"/>
  <c r="B185" i="8194"/>
  <c r="E186" i="8194"/>
  <c r="B186" i="8194" s="1"/>
  <c r="B190" i="8194" s="1"/>
  <c r="Q66" i="2" s="1"/>
  <c r="AO71" i="4"/>
  <c r="AN73" i="4"/>
  <c r="BC62" i="4"/>
  <c r="BC66" i="4" s="1"/>
  <c r="BD77" i="4"/>
  <c r="BC43" i="4"/>
  <c r="AN156" i="8194"/>
  <c r="AN183" i="8194" s="1"/>
  <c r="AN184" i="8194" s="1"/>
  <c r="AN185" i="8194" s="1"/>
  <c r="AN186" i="8194" s="1"/>
  <c r="BA24" i="4"/>
  <c r="BA25" i="4"/>
  <c r="U24" i="4"/>
  <c r="U25" i="4"/>
  <c r="AM63" i="4"/>
  <c r="AL64" i="4"/>
  <c r="AZ44" i="4"/>
  <c r="T45" i="4"/>
  <c r="T27" i="4"/>
  <c r="T26" i="4" s="1"/>
  <c r="AY60" i="2"/>
  <c r="T46" i="4"/>
  <c r="U26" i="4"/>
  <c r="BB27" i="4"/>
  <c r="BB25" i="4" s="1"/>
  <c r="AY94" i="2"/>
  <c r="BB46" i="4"/>
  <c r="BB45" i="4"/>
  <c r="AT65" i="4"/>
  <c r="AS67" i="4"/>
  <c r="T47" i="4" l="1"/>
  <c r="BB60" i="2" s="1"/>
  <c r="BB128" i="2" s="1" a="1"/>
  <c r="BB128" i="2" s="1"/>
  <c r="BE77" i="4"/>
  <c r="BD43" i="4"/>
  <c r="BD62" i="4"/>
  <c r="BD66" i="4" s="1"/>
  <c r="AO156" i="8194"/>
  <c r="AO183" i="8194" s="1"/>
  <c r="AO184" i="8194" s="1"/>
  <c r="AO185" i="8194" s="1"/>
  <c r="AO186" i="8194" s="1"/>
  <c r="AY95" i="2"/>
  <c r="BC27" i="4"/>
  <c r="BC26" i="4" s="1"/>
  <c r="BC46" i="4"/>
  <c r="BC45" i="4"/>
  <c r="BB47" i="4"/>
  <c r="BB94" i="2" s="1"/>
  <c r="U44" i="4"/>
  <c r="AP71" i="4"/>
  <c r="AO73" i="4"/>
  <c r="BB24" i="4"/>
  <c r="AN63" i="4"/>
  <c r="AM64" i="4"/>
  <c r="AU65" i="4"/>
  <c r="AT67" i="4"/>
  <c r="BB26" i="4"/>
  <c r="T24" i="4"/>
  <c r="T25" i="4"/>
  <c r="BA44" i="4"/>
  <c r="B187" i="8194"/>
  <c r="B191" i="8194"/>
  <c r="Q67" i="2" s="1"/>
  <c r="BB127" i="2" l="1" a="1"/>
  <c r="BB127" i="2" s="1"/>
  <c r="BB44" i="4"/>
  <c r="AQ71" i="4"/>
  <c r="AP73" i="4"/>
  <c r="BC24" i="4"/>
  <c r="BC25" i="4"/>
  <c r="AY96" i="2"/>
  <c r="BD27" i="4"/>
  <c r="BD46" i="4"/>
  <c r="BD45" i="4"/>
  <c r="AO63" i="4"/>
  <c r="AN64" i="4"/>
  <c r="T44" i="4"/>
  <c r="AU67" i="4"/>
  <c r="AV65" i="4"/>
  <c r="BC47" i="4"/>
  <c r="BB95" i="2" s="1"/>
  <c r="BE62" i="4"/>
  <c r="BE66" i="4" s="1"/>
  <c r="BF77" i="4"/>
  <c r="BE43" i="4"/>
  <c r="AP156" i="8194"/>
  <c r="AP183" i="8194" s="1"/>
  <c r="AP184" i="8194" s="1"/>
  <c r="AP185" i="8194" s="1"/>
  <c r="AP186" i="8194" s="1"/>
  <c r="V26" i="2"/>
  <c r="V24" i="2"/>
  <c r="BD24" i="4" l="1"/>
  <c r="BD25" i="4"/>
  <c r="AW65" i="4"/>
  <c r="AV67" i="4"/>
  <c r="V40" i="2"/>
  <c r="V29" i="2"/>
  <c r="BC44" i="4"/>
  <c r="BD26" i="4"/>
  <c r="BE46" i="4"/>
  <c r="AY97" i="2"/>
  <c r="BE27" i="4"/>
  <c r="BE26" i="4" s="1"/>
  <c r="BE45" i="4"/>
  <c r="AP63" i="4"/>
  <c r="AO64" i="4"/>
  <c r="BF62" i="4"/>
  <c r="BF66" i="4" s="1"/>
  <c r="BG77" i="4"/>
  <c r="AQ156" i="8194"/>
  <c r="AQ183" i="8194" s="1"/>
  <c r="AQ184" i="8194" s="1"/>
  <c r="AQ185" i="8194" s="1"/>
  <c r="AQ186" i="8194" s="1"/>
  <c r="BF43" i="4"/>
  <c r="BD47" i="4"/>
  <c r="BB96" i="2" s="1"/>
  <c r="AR71" i="4"/>
  <c r="AQ73" i="4"/>
  <c r="BE47" i="4" l="1"/>
  <c r="BB97" i="2" s="1"/>
  <c r="AR73" i="4"/>
  <c r="AS71" i="4"/>
  <c r="BF27" i="4"/>
  <c r="BF25" i="4" s="1"/>
  <c r="AY98" i="2"/>
  <c r="BF46" i="4"/>
  <c r="BF45" i="4"/>
  <c r="BE24" i="4"/>
  <c r="BE25" i="4"/>
  <c r="AW67" i="4"/>
  <c r="AX65" i="4"/>
  <c r="AQ63" i="4"/>
  <c r="AP64" i="4"/>
  <c r="BG62" i="4"/>
  <c r="BG66" i="4" s="1"/>
  <c r="BH77" i="4"/>
  <c r="AR156" i="8194"/>
  <c r="AR183" i="8194" s="1"/>
  <c r="AR184" i="8194" s="1"/>
  <c r="AR185" i="8194" s="1"/>
  <c r="AR186" i="8194" s="1"/>
  <c r="BG43" i="4"/>
  <c r="BD44" i="4"/>
  <c r="BF47" i="4" l="1"/>
  <c r="BB98" i="2" s="1"/>
  <c r="BF24" i="4"/>
  <c r="BF26" i="4"/>
  <c r="AR63" i="4"/>
  <c r="AQ64" i="4"/>
  <c r="BG46" i="4"/>
  <c r="BG27" i="4"/>
  <c r="BG26" i="4" s="1"/>
  <c r="AY99" i="2"/>
  <c r="BG45" i="4"/>
  <c r="AT71" i="4"/>
  <c r="AS73" i="4"/>
  <c r="BI77" i="4"/>
  <c r="BH62" i="4"/>
  <c r="BH66" i="4" s="1"/>
  <c r="BH43" i="4"/>
  <c r="AS156" i="8194"/>
  <c r="AS183" i="8194" s="1"/>
  <c r="AS184" i="8194" s="1"/>
  <c r="AS185" i="8194" s="1"/>
  <c r="AS186" i="8194" s="1"/>
  <c r="AY65" i="4"/>
  <c r="AX67" i="4"/>
  <c r="BE44" i="4"/>
  <c r="BG47" i="4" l="1"/>
  <c r="BB99" i="2" s="1"/>
  <c r="BF44" i="4"/>
  <c r="AU71" i="4"/>
  <c r="AT73" i="4"/>
  <c r="BH46" i="4"/>
  <c r="AY100" i="2"/>
  <c r="BH27" i="4"/>
  <c r="BH26" i="4" s="1"/>
  <c r="BH45" i="4"/>
  <c r="BH47" i="4" s="1"/>
  <c r="BB100" i="2" s="1"/>
  <c r="AZ65" i="4"/>
  <c r="AY67" i="4"/>
  <c r="BG24" i="4"/>
  <c r="BG25" i="4"/>
  <c r="BJ77" i="4"/>
  <c r="BI43" i="4"/>
  <c r="AT156" i="8194"/>
  <c r="AT183" i="8194" s="1"/>
  <c r="AT184" i="8194" s="1"/>
  <c r="AT185" i="8194" s="1"/>
  <c r="AT186" i="8194" s="1"/>
  <c r="BI62" i="4"/>
  <c r="BI66" i="4" s="1"/>
  <c r="AS63" i="4"/>
  <c r="AR64" i="4"/>
  <c r="BA65" i="4" l="1"/>
  <c r="AZ67" i="4"/>
  <c r="AS64" i="4"/>
  <c r="AT63" i="4"/>
  <c r="BH24" i="4"/>
  <c r="BH25" i="4"/>
  <c r="AY101" i="2"/>
  <c r="BI27" i="4"/>
  <c r="BI46" i="4"/>
  <c r="BI45" i="4"/>
  <c r="BG44" i="4"/>
  <c r="BJ62" i="4"/>
  <c r="BJ66" i="4" s="1"/>
  <c r="BJ43" i="4"/>
  <c r="AU156" i="8194"/>
  <c r="AU183" i="8194" s="1"/>
  <c r="AU184" i="8194" s="1"/>
  <c r="AU185" i="8194" s="1"/>
  <c r="AU186" i="8194" s="1"/>
  <c r="BK77" i="4"/>
  <c r="AV71" i="4"/>
  <c r="AU73" i="4"/>
  <c r="BI47" i="4" l="1"/>
  <c r="BB101" i="2" s="1"/>
  <c r="BK62" i="4"/>
  <c r="BK66" i="4" s="1"/>
  <c r="BK43" i="4"/>
  <c r="AV156" i="8194"/>
  <c r="AV183" i="8194" s="1"/>
  <c r="AV184" i="8194" s="1"/>
  <c r="AV185" i="8194" s="1"/>
  <c r="AV186" i="8194" s="1"/>
  <c r="BL77" i="4"/>
  <c r="BH44" i="4"/>
  <c r="AT64" i="4"/>
  <c r="AU63" i="4"/>
  <c r="BI24" i="4"/>
  <c r="BI25" i="4"/>
  <c r="BJ46" i="4"/>
  <c r="BJ27" i="4"/>
  <c r="BJ25" i="4" s="1"/>
  <c r="AY102" i="2"/>
  <c r="BJ45" i="4"/>
  <c r="BJ47" i="4" s="1"/>
  <c r="BB102" i="2" s="1"/>
  <c r="BI26" i="4"/>
  <c r="AW71" i="4"/>
  <c r="AV73" i="4"/>
  <c r="BA67" i="4"/>
  <c r="BB65" i="4"/>
  <c r="BJ24" i="4" l="1"/>
  <c r="BJ26" i="4"/>
  <c r="BI44" i="4"/>
  <c r="BC65" i="4"/>
  <c r="BB67" i="4"/>
  <c r="BM77" i="4"/>
  <c r="BL62" i="4"/>
  <c r="BL66" i="4" s="1"/>
  <c r="BL43" i="4"/>
  <c r="AW156" i="8194"/>
  <c r="AW183" i="8194" s="1"/>
  <c r="AW184" i="8194" s="1"/>
  <c r="AW185" i="8194" s="1"/>
  <c r="AW186" i="8194" s="1"/>
  <c r="BK27" i="4"/>
  <c r="BK46" i="4"/>
  <c r="AY103" i="2"/>
  <c r="BK45" i="4"/>
  <c r="AU64" i="4"/>
  <c r="AV63" i="4"/>
  <c r="AX71" i="4"/>
  <c r="AW73" i="4"/>
  <c r="BJ44" i="4" l="1"/>
  <c r="BK24" i="4"/>
  <c r="BK25" i="4"/>
  <c r="AW63" i="4"/>
  <c r="AV64" i="4"/>
  <c r="BK47" i="4"/>
  <c r="BB103" i="2" s="1"/>
  <c r="BK26" i="4"/>
  <c r="AY71" i="4"/>
  <c r="AX73" i="4"/>
  <c r="AY104" i="2"/>
  <c r="BL27" i="4"/>
  <c r="BL26" i="4" s="1"/>
  <c r="BL46" i="4"/>
  <c r="BL45" i="4"/>
  <c r="AX156" i="8194"/>
  <c r="AX183" i="8194" s="1"/>
  <c r="AX184" i="8194" s="1"/>
  <c r="AX185" i="8194" s="1"/>
  <c r="AX186" i="8194" s="1"/>
  <c r="BN77" i="4"/>
  <c r="BM62" i="4"/>
  <c r="BM66" i="4" s="1"/>
  <c r="BM43" i="4"/>
  <c r="BD65" i="4"/>
  <c r="BC67" i="4"/>
  <c r="BL47" i="4" l="1"/>
  <c r="BB104" i="2" s="1"/>
  <c r="AZ71" i="4"/>
  <c r="AY73" i="4"/>
  <c r="BO77" i="4"/>
  <c r="AY156" i="8194"/>
  <c r="AY183" i="8194" s="1"/>
  <c r="AY184" i="8194" s="1"/>
  <c r="AY185" i="8194" s="1"/>
  <c r="AY186" i="8194" s="1"/>
  <c r="BN62" i="4"/>
  <c r="BN66" i="4" s="1"/>
  <c r="BN43" i="4"/>
  <c r="AX63" i="4"/>
  <c r="AW64" i="4"/>
  <c r="BD67" i="4"/>
  <c r="BE65" i="4"/>
  <c r="BL24" i="4"/>
  <c r="BL25" i="4"/>
  <c r="BM27" i="4"/>
  <c r="BM26" i="4" s="1"/>
  <c r="BM46" i="4"/>
  <c r="AY105" i="2"/>
  <c r="BM45" i="4"/>
  <c r="BK44" i="4"/>
  <c r="BM24" i="4" l="1"/>
  <c r="BM25" i="4"/>
  <c r="BO43" i="4"/>
  <c r="AZ156" i="8194"/>
  <c r="AZ183" i="8194" s="1"/>
  <c r="AZ184" i="8194" s="1"/>
  <c r="AZ185" i="8194" s="1"/>
  <c r="AZ186" i="8194" s="1"/>
  <c r="BO62" i="4"/>
  <c r="BO66" i="4" s="1"/>
  <c r="BP77" i="4"/>
  <c r="BL44" i="4"/>
  <c r="AY63" i="4"/>
  <c r="AX64" i="4"/>
  <c r="BN27" i="4"/>
  <c r="BN24" i="4" s="1"/>
  <c r="AY106" i="2"/>
  <c r="BN46" i="4"/>
  <c r="BN45" i="4"/>
  <c r="BE67" i="4"/>
  <c r="BF65" i="4"/>
  <c r="BM47" i="4"/>
  <c r="BB105" i="2" s="1"/>
  <c r="BA71" i="4"/>
  <c r="AZ73" i="4"/>
  <c r="BN47" i="4" l="1"/>
  <c r="BB106" i="2" s="1"/>
  <c r="BF67" i="4"/>
  <c r="BG65" i="4"/>
  <c r="AZ63" i="4"/>
  <c r="AY64" i="4"/>
  <c r="BQ77" i="4"/>
  <c r="BP43" i="4"/>
  <c r="BP62" i="4"/>
  <c r="BP66" i="4" s="1"/>
  <c r="BA156" i="8194"/>
  <c r="BA183" i="8194" s="1"/>
  <c r="BA184" i="8194" s="1"/>
  <c r="BA185" i="8194" s="1"/>
  <c r="BA186" i="8194" s="1"/>
  <c r="BO27" i="4"/>
  <c r="BO26" i="4" s="1"/>
  <c r="BO46" i="4"/>
  <c r="AY107" i="2"/>
  <c r="BO45" i="4"/>
  <c r="BB71" i="4"/>
  <c r="BA73" i="4"/>
  <c r="BN26" i="4"/>
  <c r="BN25" i="4"/>
  <c r="BM44" i="4"/>
  <c r="BO47" i="4" l="1"/>
  <c r="BB107" i="2" s="1"/>
  <c r="BN44" i="4"/>
  <c r="BC71" i="4"/>
  <c r="BB73" i="4"/>
  <c r="AY108" i="2"/>
  <c r="BP46" i="4"/>
  <c r="BP27" i="4"/>
  <c r="BP24" i="4" s="1"/>
  <c r="BP45" i="4"/>
  <c r="BP47" i="4" s="1"/>
  <c r="BB108" i="2" s="1"/>
  <c r="BR77" i="4"/>
  <c r="BB156" i="8194"/>
  <c r="BB183" i="8194" s="1"/>
  <c r="BB184" i="8194" s="1"/>
  <c r="BB185" i="8194" s="1"/>
  <c r="BB186" i="8194" s="1"/>
  <c r="BQ62" i="4"/>
  <c r="BQ66" i="4" s="1"/>
  <c r="BQ43" i="4"/>
  <c r="BH65" i="4"/>
  <c r="BG67" i="4"/>
  <c r="BA63" i="4"/>
  <c r="AZ64" i="4"/>
  <c r="BO24" i="4"/>
  <c r="BO25" i="4"/>
  <c r="BO44" i="4" l="1"/>
  <c r="BR62" i="4"/>
  <c r="BR66" i="4" s="1"/>
  <c r="BC156" i="8194"/>
  <c r="BC183" i="8194" s="1"/>
  <c r="BC184" i="8194" s="1"/>
  <c r="BC185" i="8194" s="1"/>
  <c r="BC186" i="8194" s="1"/>
  <c r="BR43" i="4"/>
  <c r="BS77" i="4"/>
  <c r="BA64" i="4"/>
  <c r="BB63" i="4"/>
  <c r="BP26" i="4"/>
  <c r="BP25" i="4"/>
  <c r="BI65" i="4"/>
  <c r="BH67" i="4"/>
  <c r="BQ46" i="4"/>
  <c r="BQ27" i="4"/>
  <c r="BQ25" i="4" s="1"/>
  <c r="AY109" i="2"/>
  <c r="BQ45" i="4"/>
  <c r="BQ47" i="4" s="1"/>
  <c r="BB109" i="2" s="1"/>
  <c r="BD71" i="4"/>
  <c r="BC73" i="4"/>
  <c r="BQ24" i="4" l="1"/>
  <c r="BP44" i="4"/>
  <c r="BQ26" i="4"/>
  <c r="BB64" i="4"/>
  <c r="BC63" i="4"/>
  <c r="AY110" i="2"/>
  <c r="BR46" i="4"/>
  <c r="BR27" i="4"/>
  <c r="BR24" i="4" s="1"/>
  <c r="BR45" i="4"/>
  <c r="BS43" i="4"/>
  <c r="BS62" i="4"/>
  <c r="BS66" i="4" s="1"/>
  <c r="BD156" i="8194"/>
  <c r="BD183" i="8194" s="1"/>
  <c r="BD184" i="8194" s="1"/>
  <c r="BD185" i="8194" s="1"/>
  <c r="BD186" i="8194" s="1"/>
  <c r="BT77" i="4"/>
  <c r="BE71" i="4"/>
  <c r="BD73" i="4"/>
  <c r="BI67" i="4"/>
  <c r="BJ65" i="4"/>
  <c r="BQ44" i="4" l="1"/>
  <c r="BR47" i="4"/>
  <c r="BB110" i="2" s="1"/>
  <c r="BF71" i="4"/>
  <c r="BE73" i="4"/>
  <c r="AY111" i="2"/>
  <c r="BS46" i="4"/>
  <c r="BS27" i="4"/>
  <c r="BS24" i="4" s="1"/>
  <c r="BS45" i="4"/>
  <c r="BS47" i="4" s="1"/>
  <c r="BB111" i="2" s="1"/>
  <c r="BR26" i="4"/>
  <c r="BR25" i="4"/>
  <c r="BT62" i="4"/>
  <c r="BT66" i="4" s="1"/>
  <c r="BT43" i="4"/>
  <c r="BU77" i="4"/>
  <c r="BE156" i="8194"/>
  <c r="BE183" i="8194" s="1"/>
  <c r="BE184" i="8194" s="1"/>
  <c r="BE185" i="8194" s="1"/>
  <c r="BE186" i="8194" s="1"/>
  <c r="BK65" i="4"/>
  <c r="BJ67" i="4"/>
  <c r="BD63" i="4"/>
  <c r="BC64" i="4"/>
  <c r="BR44" i="4" l="1"/>
  <c r="BV77" i="4"/>
  <c r="BU43" i="4"/>
  <c r="BU62" i="4"/>
  <c r="BU66" i="4" s="1"/>
  <c r="BF156" i="8194"/>
  <c r="BF183" i="8194" s="1"/>
  <c r="BF184" i="8194" s="1"/>
  <c r="BF185" i="8194" s="1"/>
  <c r="BF186" i="8194" s="1"/>
  <c r="BK67" i="4"/>
  <c r="BL65" i="4"/>
  <c r="BS26" i="4"/>
  <c r="BS25" i="4"/>
  <c r="BT46" i="4"/>
  <c r="BT27" i="4"/>
  <c r="BT24" i="4" s="1"/>
  <c r="AY112" i="2"/>
  <c r="BT45" i="4"/>
  <c r="BT47" i="4" s="1"/>
  <c r="BB112" i="2" s="1"/>
  <c r="BG71" i="4"/>
  <c r="BF73" i="4"/>
  <c r="BE63" i="4"/>
  <c r="BD64" i="4"/>
  <c r="BS44" i="4" l="1"/>
  <c r="BL67" i="4"/>
  <c r="BM65" i="4"/>
  <c r="BH71" i="4"/>
  <c r="BG73" i="4"/>
  <c r="BT26" i="4"/>
  <c r="BT25" i="4"/>
  <c r="BU46" i="4"/>
  <c r="AY113" i="2"/>
  <c r="BU27" i="4"/>
  <c r="BU25" i="4" s="1"/>
  <c r="BU45" i="4"/>
  <c r="BF63" i="4"/>
  <c r="BE64" i="4"/>
  <c r="BV62" i="4"/>
  <c r="BV66" i="4" s="1"/>
  <c r="BW77" i="4"/>
  <c r="BV43" i="4"/>
  <c r="BG156" i="8194"/>
  <c r="BG183" i="8194" s="1"/>
  <c r="BG184" i="8194" s="1"/>
  <c r="BG185" i="8194" s="1"/>
  <c r="BG186" i="8194" s="1"/>
  <c r="BT44" i="4" l="1"/>
  <c r="BU24" i="4"/>
  <c r="BU26" i="4"/>
  <c r="BH73" i="4"/>
  <c r="BI71" i="4"/>
  <c r="BG63" i="4"/>
  <c r="BF64" i="4"/>
  <c r="BM67" i="4"/>
  <c r="BN65" i="4"/>
  <c r="BU47" i="4"/>
  <c r="BB113" i="2" s="1"/>
  <c r="BV46" i="4"/>
  <c r="AY114" i="2"/>
  <c r="BV27" i="4"/>
  <c r="BV45" i="4"/>
  <c r="BV47" i="4" s="1"/>
  <c r="BB114" i="2" s="1"/>
  <c r="BH156" i="8194"/>
  <c r="BH183" i="8194" s="1"/>
  <c r="BH184" i="8194" s="1"/>
  <c r="BH185" i="8194" s="1"/>
  <c r="BH186" i="8194" s="1"/>
  <c r="BW62" i="4"/>
  <c r="BW66" i="4" s="1"/>
  <c r="BX77" i="4"/>
  <c r="BW43" i="4"/>
  <c r="BU44" i="4" l="1"/>
  <c r="BN67" i="4"/>
  <c r="BO65" i="4"/>
  <c r="BH63" i="4"/>
  <c r="BG64" i="4"/>
  <c r="BJ71" i="4"/>
  <c r="BI73" i="4"/>
  <c r="BV24" i="4"/>
  <c r="BV25" i="4"/>
  <c r="BV26" i="4"/>
  <c r="BW27" i="4"/>
  <c r="BW24" i="4" s="1"/>
  <c r="AY115" i="2"/>
  <c r="BW46" i="4"/>
  <c r="BW45" i="4"/>
  <c r="BX62" i="4"/>
  <c r="BX66" i="4" s="1"/>
  <c r="BY77" i="4"/>
  <c r="BX43" i="4"/>
  <c r="BI156" i="8194"/>
  <c r="BI183" i="8194" s="1"/>
  <c r="BI184" i="8194" s="1"/>
  <c r="BI185" i="8194" s="1"/>
  <c r="BI186" i="8194" s="1"/>
  <c r="BW47" i="4" l="1"/>
  <c r="BB115" i="2" s="1"/>
  <c r="BV44" i="4"/>
  <c r="BJ156" i="8194"/>
  <c r="BJ183" i="8194" s="1"/>
  <c r="BJ184" i="8194" s="1"/>
  <c r="BJ185" i="8194" s="1"/>
  <c r="BJ186" i="8194" s="1"/>
  <c r="BZ77" i="4"/>
  <c r="BY62" i="4"/>
  <c r="BY66" i="4" s="1"/>
  <c r="BY43" i="4"/>
  <c r="BK71" i="4"/>
  <c r="BJ73" i="4"/>
  <c r="BP65" i="4"/>
  <c r="BO67" i="4"/>
  <c r="BI63" i="4"/>
  <c r="BH64" i="4"/>
  <c r="BW26" i="4"/>
  <c r="BW25" i="4"/>
  <c r="BX46" i="4"/>
  <c r="BX27" i="4"/>
  <c r="AY116" i="2"/>
  <c r="BX45" i="4"/>
  <c r="BW44" i="4" l="1"/>
  <c r="BQ65" i="4"/>
  <c r="BP67" i="4"/>
  <c r="BY27" i="4"/>
  <c r="BY24" i="4" s="1"/>
  <c r="AY117" i="2"/>
  <c r="BY46" i="4"/>
  <c r="BY45" i="4"/>
  <c r="BX24" i="4"/>
  <c r="BX25" i="4"/>
  <c r="BX47" i="4"/>
  <c r="BB116" i="2" s="1"/>
  <c r="BI64" i="4"/>
  <c r="BJ63" i="4"/>
  <c r="BZ62" i="4"/>
  <c r="BZ66" i="4" s="1"/>
  <c r="BZ43" i="4"/>
  <c r="BK156" i="8194"/>
  <c r="BK183" i="8194" s="1"/>
  <c r="BK184" i="8194" s="1"/>
  <c r="BK185" i="8194" s="1"/>
  <c r="BK186" i="8194" s="1"/>
  <c r="CA77" i="4"/>
  <c r="BL71" i="4"/>
  <c r="BK73" i="4"/>
  <c r="BX26" i="4"/>
  <c r="BY47" i="4" l="1"/>
  <c r="BB117" i="2" s="1"/>
  <c r="BX44" i="4"/>
  <c r="BL156" i="8194"/>
  <c r="BL183" i="8194" s="1"/>
  <c r="BL184" i="8194" s="1"/>
  <c r="BL185" i="8194" s="1"/>
  <c r="BL186" i="8194" s="1"/>
  <c r="CA62" i="4"/>
  <c r="CA66" i="4" s="1"/>
  <c r="CB77" i="4"/>
  <c r="CA43" i="4"/>
  <c r="BZ27" i="4"/>
  <c r="BZ24" i="4" s="1"/>
  <c r="BZ46" i="4"/>
  <c r="AY118" i="2"/>
  <c r="BZ45" i="4"/>
  <c r="BY26" i="4"/>
  <c r="BY25" i="4"/>
  <c r="BJ64" i="4"/>
  <c r="BK63" i="4"/>
  <c r="BM71" i="4"/>
  <c r="BL73" i="4"/>
  <c r="BQ67" i="4"/>
  <c r="BR65" i="4"/>
  <c r="BY44" i="4" l="1"/>
  <c r="CA46" i="4"/>
  <c r="CA27" i="4"/>
  <c r="CA26" i="4" s="1"/>
  <c r="AY119" i="2"/>
  <c r="CA45" i="4"/>
  <c r="CA47" i="4" s="1"/>
  <c r="BB119" i="2" s="1"/>
  <c r="CB62" i="4"/>
  <c r="CB66" i="4" s="1"/>
  <c r="CC77" i="4"/>
  <c r="CB43" i="4"/>
  <c r="BM156" i="8194"/>
  <c r="BM183" i="8194" s="1"/>
  <c r="BM184" i="8194" s="1"/>
  <c r="BM185" i="8194" s="1"/>
  <c r="BM186" i="8194" s="1"/>
  <c r="BK64" i="4"/>
  <c r="BL63" i="4"/>
  <c r="BN71" i="4"/>
  <c r="BM73" i="4"/>
  <c r="BZ26" i="4"/>
  <c r="BZ25" i="4"/>
  <c r="BR67" i="4"/>
  <c r="BS65" i="4"/>
  <c r="BZ47" i="4"/>
  <c r="BB118" i="2" s="1"/>
  <c r="BZ44" i="4" l="1"/>
  <c r="BO71" i="4"/>
  <c r="BN73" i="4"/>
  <c r="CD77" i="4"/>
  <c r="CC43" i="4"/>
  <c r="CC62" i="4"/>
  <c r="CC66" i="4" s="1"/>
  <c r="BN156" i="8194"/>
  <c r="BN183" i="8194" s="1"/>
  <c r="BN184" i="8194" s="1"/>
  <c r="BN185" i="8194" s="1"/>
  <c r="BN186" i="8194" s="1"/>
  <c r="BM63" i="4"/>
  <c r="BL64" i="4"/>
  <c r="CA24" i="4"/>
  <c r="CA25" i="4"/>
  <c r="BT65" i="4"/>
  <c r="BS67" i="4"/>
  <c r="CB46" i="4"/>
  <c r="CB27" i="4"/>
  <c r="CB25" i="4" s="1"/>
  <c r="AY120" i="2"/>
  <c r="CB45" i="4"/>
  <c r="CD62" i="4" l="1"/>
  <c r="CD66" i="4" s="1"/>
  <c r="BO156" i="8194"/>
  <c r="BO183" i="8194" s="1"/>
  <c r="BO184" i="8194" s="1"/>
  <c r="BO185" i="8194" s="1"/>
  <c r="BO186" i="8194" s="1"/>
  <c r="CE77" i="4"/>
  <c r="CD43" i="4"/>
  <c r="CB26" i="4"/>
  <c r="BM64" i="4"/>
  <c r="BN63" i="4"/>
  <c r="CC27" i="4"/>
  <c r="CC24" i="4" s="1"/>
  <c r="CC46" i="4"/>
  <c r="AY121" i="2"/>
  <c r="CC45" i="4"/>
  <c r="BT67" i="4"/>
  <c r="BU65" i="4"/>
  <c r="CB47" i="4"/>
  <c r="BB120" i="2" s="1"/>
  <c r="CB24" i="4"/>
  <c r="CA44" i="4"/>
  <c r="BO73" i="4"/>
  <c r="BP71" i="4"/>
  <c r="CC47" i="4" l="1"/>
  <c r="BB121" i="2" s="1"/>
  <c r="CB44" i="4"/>
  <c r="BV65" i="4"/>
  <c r="BU67" i="4"/>
  <c r="BO63" i="4"/>
  <c r="BN64" i="4"/>
  <c r="AY122" i="2"/>
  <c r="CD27" i="4"/>
  <c r="CD46" i="4"/>
  <c r="CD45" i="4"/>
  <c r="BP73" i="4"/>
  <c r="BQ71" i="4"/>
  <c r="CE43" i="4"/>
  <c r="CE62" i="4"/>
  <c r="CE66" i="4" s="1"/>
  <c r="BP156" i="8194"/>
  <c r="BP183" i="8194" s="1"/>
  <c r="BP184" i="8194" s="1"/>
  <c r="BP185" i="8194" s="1"/>
  <c r="BP186" i="8194" s="1"/>
  <c r="CF77" i="4"/>
  <c r="CC26" i="4"/>
  <c r="CC25" i="4"/>
  <c r="CC44" i="4" l="1"/>
  <c r="BR71" i="4"/>
  <c r="BQ73" i="4"/>
  <c r="BO64" i="4"/>
  <c r="BP63" i="4"/>
  <c r="CF62" i="4"/>
  <c r="CF66" i="4" s="1"/>
  <c r="BQ156" i="8194"/>
  <c r="BQ183" i="8194" s="1"/>
  <c r="BQ184" i="8194" s="1"/>
  <c r="BQ185" i="8194" s="1"/>
  <c r="BQ186" i="8194" s="1"/>
  <c r="CF43" i="4"/>
  <c r="CG77" i="4"/>
  <c r="CD47" i="4"/>
  <c r="BB122" i="2" s="1"/>
  <c r="BV67" i="4"/>
  <c r="BW65" i="4"/>
  <c r="CD24" i="4"/>
  <c r="CD25" i="4"/>
  <c r="CE27" i="4"/>
  <c r="CE46" i="4"/>
  <c r="AY123" i="2"/>
  <c r="CE45" i="4"/>
  <c r="CD26" i="4"/>
  <c r="CG62" i="4" l="1"/>
  <c r="CG66" i="4" s="1"/>
  <c r="CG43" i="4"/>
  <c r="BR156" i="8194"/>
  <c r="BR183" i="8194" s="1"/>
  <c r="BR184" i="8194" s="1"/>
  <c r="BR185" i="8194" s="1"/>
  <c r="BR186" i="8194" s="1"/>
  <c r="CF27" i="4"/>
  <c r="CF24" i="4" s="1"/>
  <c r="AY124" i="2"/>
  <c r="CF46" i="4"/>
  <c r="CF45" i="4"/>
  <c r="CD44" i="4"/>
  <c r="BQ63" i="4"/>
  <c r="BP64" i="4"/>
  <c r="BX65" i="4"/>
  <c r="BW67" i="4"/>
  <c r="CE47" i="4"/>
  <c r="BB123" i="2" s="1"/>
  <c r="CE26" i="4"/>
  <c r="CE25" i="4"/>
  <c r="CE24" i="4"/>
  <c r="BS71" i="4"/>
  <c r="BR73" i="4"/>
  <c r="CF47" i="4" l="1"/>
  <c r="BB124" i="2" s="1"/>
  <c r="CF26" i="4"/>
  <c r="CF25" i="4"/>
  <c r="BT71" i="4"/>
  <c r="BS73" i="4"/>
  <c r="BQ64" i="4"/>
  <c r="BR63" i="4"/>
  <c r="CG46" i="4"/>
  <c r="CG27" i="4"/>
  <c r="CG24" i="4" s="1"/>
  <c r="AY125" i="2"/>
  <c r="CG45" i="4"/>
  <c r="BY65" i="4"/>
  <c r="BX67" i="4"/>
  <c r="CE44" i="4"/>
  <c r="CF44" i="4" l="1"/>
  <c r="BZ65" i="4"/>
  <c r="BY67" i="4"/>
  <c r="CG47" i="4"/>
  <c r="BB125" i="2" s="1"/>
  <c r="BU71" i="4"/>
  <c r="BT73" i="4"/>
  <c r="BR64" i="4"/>
  <c r="BS63" i="4"/>
  <c r="CG26" i="4"/>
  <c r="CG25" i="4"/>
  <c r="CG44" i="4" l="1"/>
  <c r="BT63" i="4"/>
  <c r="BS64" i="4"/>
  <c r="BV71" i="4"/>
  <c r="BU73" i="4"/>
  <c r="BZ67" i="4"/>
  <c r="CA65" i="4"/>
  <c r="CB65" i="4" l="1"/>
  <c r="CA67" i="4"/>
  <c r="BW71" i="4"/>
  <c r="BV73" i="4"/>
  <c r="BU63" i="4"/>
  <c r="BT64" i="4"/>
  <c r="BV63" i="4" l="1"/>
  <c r="BU64" i="4"/>
  <c r="BW73" i="4"/>
  <c r="BX71" i="4"/>
  <c r="CB67" i="4"/>
  <c r="CC65" i="4"/>
  <c r="CC67" i="4" l="1"/>
  <c r="CD65" i="4"/>
  <c r="BX73" i="4"/>
  <c r="BY71" i="4"/>
  <c r="BW63" i="4"/>
  <c r="BV64" i="4"/>
  <c r="BX63" i="4" l="1"/>
  <c r="BW64" i="4"/>
  <c r="BY73" i="4"/>
  <c r="BZ71" i="4"/>
  <c r="CD67" i="4"/>
  <c r="CE65" i="4"/>
  <c r="CF65" i="4" l="1"/>
  <c r="CE67" i="4"/>
  <c r="CA71" i="4"/>
  <c r="BZ73" i="4"/>
  <c r="BX64" i="4"/>
  <c r="BY63" i="4"/>
  <c r="BZ63" i="4" l="1"/>
  <c r="BY64" i="4"/>
  <c r="CB71" i="4"/>
  <c r="CA73" i="4"/>
  <c r="CF67" i="4"/>
  <c r="CG65" i="4"/>
  <c r="CG67" i="4" s="1"/>
  <c r="CC71" i="4" l="1"/>
  <c r="CB73" i="4"/>
  <c r="BZ64" i="4"/>
  <c r="CA63" i="4"/>
  <c r="CB63" i="4" l="1"/>
  <c r="CA64" i="4"/>
  <c r="CD71" i="4"/>
  <c r="CC73" i="4"/>
  <c r="CE71" i="4" l="1"/>
  <c r="CD73" i="4"/>
  <c r="CC63" i="4"/>
  <c r="CB64" i="4"/>
  <c r="CD63" i="4" l="1"/>
  <c r="CC64" i="4"/>
  <c r="CE73" i="4"/>
  <c r="CF71" i="4"/>
  <c r="CF73" i="4" l="1"/>
  <c r="CG71" i="4"/>
  <c r="CG73" i="4" s="1"/>
  <c r="CE63" i="4"/>
  <c r="CD64" i="4"/>
  <c r="CF63" i="4" l="1"/>
  <c r="CE64"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<sst xmlns="http://schemas.openxmlformats.org/spreadsheetml/2006/main" count="13740" uniqueCount="5706">
  <si>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</si>
  <si>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</si>
  <si>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</si>
  <si>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</si>
  <si>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</si>
  <si>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</si>
  <si>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</si>
  <si>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</si>
  <si>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</si>
  <si>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</si>
  <si>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</si>
  <si>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</si>
  <si>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</si>
  <si>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</si>
  <si>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</si>
  <si>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</si>
  <si>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</si>
  <si>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</si>
  <si>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</si>
  <si>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</si>
  <si>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</si>
  <si>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</si>
  <si>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</si>
  <si>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</si>
  <si>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</si>
  <si>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</si>
  <si>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</si>
  <si>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</si>
  <si>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</si>
  <si>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</si>
  <si>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</si>
  <si>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</si>
  <si>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</si>
  <si>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</si>
  <si>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</si>
  <si>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</si>
  <si>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</si>
  <si>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</si>
  <si>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</si>
  <si>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</si>
  <si>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</si>
  <si>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</si>
  <si>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</si>
  <si>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</si>
  <si>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</si>
  <si>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</si>
  <si>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</si>
  <si>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</si>
  <si>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</si>
  <si>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</si>
  <si>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</si>
  <si>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</si>
  <si>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</si>
  <si>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</si>
  <si>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</si>
  <si>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</si>
  <si>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</si>
  <si>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</si>
  <si>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</si>
  <si>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</si>
  <si>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</si>
  <si>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</si>
  <si>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</si>
  <si>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</si>
  <si>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</si>
  <si>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</si>
  <si>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</si>
  <si>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</si>
  <si>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</si>
  <si>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</si>
  <si>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</si>
  <si>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</si>
  <si>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</si>
  <si>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</si>
  <si>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</si>
  <si>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</si>
  <si>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</si>
  <si>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</si>
  <si>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</si>
  <si>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</si>
  <si>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</si>
  <si>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</si>
  <si>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</si>
  <si>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</si>
  <si>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</si>
  <si>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</si>
  <si>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</si>
  <si>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</si>
  <si>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</si>
  <si>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</si>
  <si>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</si>
  <si>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</si>
  <si>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</si>
  <si>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</si>
  <si>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</si>
  <si>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</si>
  <si>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</si>
  <si>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</si>
  <si>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</si>
  <si>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</si>
  <si>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</si>
  <si>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</si>
  <si>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</si>
  <si>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</si>
  <si>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</si>
  <si>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</si>
  <si>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</si>
  <si>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</si>
  <si>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</si>
  <si>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</si>
  <si>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</si>
  <si>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</si>
  <si>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</si>
  <si>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</si>
  <si>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</si>
  <si>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</si>
  <si>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</si>
  <si>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</si>
  <si>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</si>
  <si>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</si>
  <si>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</si>
  <si>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</si>
  <si>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</si>
  <si>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</si>
  <si>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</si>
  <si>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</si>
  <si>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</si>
  <si>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</si>
  <si>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</si>
  <si>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</si>
  <si>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</si>
  <si>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</si>
  <si>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</si>
  <si>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</si>
  <si>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</si>
  <si>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</si>
  <si>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</si>
  <si>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</si>
  <si>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</si>
  <si>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</si>
  <si>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</si>
  <si>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</si>
  <si>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</si>
  <si>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</si>
  <si>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</si>
  <si>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</si>
  <si>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</si>
  <si>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</si>
  <si>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</si>
  <si>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</si>
  <si>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</si>
  <si>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</si>
  <si>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</si>
  <si>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</si>
  <si>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</si>
  <si>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</si>
  <si>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</si>
  <si>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</si>
  <si>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</si>
  <si>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</si>
  <si>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</si>
  <si>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</si>
  <si>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</si>
  <si>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</si>
  <si>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</si>
  <si>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</si>
  <si>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</si>
  <si>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</si>
  <si>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</si>
  <si>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</si>
  <si>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</si>
  <si>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</si>
  <si>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</si>
  <si>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</si>
  <si>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</si>
  <si>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</si>
  <si>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</si>
  <si>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</si>
  <si>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</si>
  <si>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</si>
  <si>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</si>
  <si>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</si>
  <si>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</si>
  <si>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</si>
  <si>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</si>
  <si>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</si>
  <si>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</si>
  <si>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</si>
  <si>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</si>
  <si>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</si>
  <si>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</si>
  <si>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</si>
  <si>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</si>
  <si>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</si>
  <si>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</si>
  <si>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</si>
  <si>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</si>
  <si>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</si>
  <si>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</si>
  <si>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</si>
  <si>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</si>
  <si>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</si>
  <si>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</si>
  <si>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</si>
  <si>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</si>
  <si>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</si>
  <si>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</si>
  <si>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</si>
  <si>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</si>
  <si>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</si>
  <si>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</si>
  <si>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</si>
  <si>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</si>
  <si>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</si>
  <si>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</si>
  <si>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</si>
  <si>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</si>
  <si>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</si>
  <si>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</si>
  <si>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</si>
  <si>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</si>
  <si>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</si>
  <si>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</si>
  <si>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</si>
  <si>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</si>
  <si>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</si>
  <si>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</si>
  <si>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</si>
  <si>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</si>
  <si>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</si>
  <si>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</si>
  <si>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</si>
  <si>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</si>
  <si>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</si>
  <si>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</si>
  <si>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</si>
  <si>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</si>
  <si>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</si>
  <si>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</si>
  <si>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</si>
  <si>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</si>
  <si>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</si>
  <si>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</si>
  <si>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</si>
  <si>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</si>
  <si>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</si>
  <si>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</si>
  <si>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</si>
  <si>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</si>
  <si>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</si>
  <si>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</si>
  <si>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</si>
  <si>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</si>
  <si>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</si>
  <si>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</si>
  <si>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</si>
  <si>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</si>
  <si>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</si>
  <si>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</si>
  <si>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</si>
  <si>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</si>
  <si>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</si>
  <si>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</si>
  <si>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</si>
  <si>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</si>
  <si>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</si>
  <si>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</si>
  <si>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</si>
  <si>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</si>
  <si>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</si>
  <si>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</si>
  <si>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</si>
  <si>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</si>
  <si>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</si>
  <si>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</si>
  <si>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</si>
  <si>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</si>
  <si>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</si>
  <si>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</si>
  <si>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</si>
  <si>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</si>
  <si>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</si>
  <si>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</si>
  <si>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</si>
  <si>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</si>
  <si>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</si>
  <si>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</si>
  <si>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</si>
  <si>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</si>
  <si>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</si>
  <si>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</si>
  <si>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</si>
  <si>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</si>
  <si>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</si>
  <si>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</si>
  <si>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</si>
  <si>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</si>
  <si>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</si>
  <si>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</si>
  <si>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</si>
  <si>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</si>
  <si>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</si>
  <si>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</si>
  <si>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</si>
  <si>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</si>
  <si>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</si>
  <si>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</si>
  <si>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</si>
  <si>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</si>
  <si>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</si>
  <si>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</si>
  <si>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</si>
  <si>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</si>
  <si>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</si>
  <si>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</si>
  <si>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</si>
  <si>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</si>
  <si>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</si>
  <si>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</si>
  <si>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</si>
  <si>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</si>
  <si>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</si>
  <si>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</si>
  <si>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</si>
  <si>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</si>
  <si>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</si>
  <si>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</si>
  <si>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</si>
  <si>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</si>
  <si>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</si>
  <si>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</si>
  <si>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</si>
  <si>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</si>
  <si>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</si>
  <si>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</si>
  <si>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</si>
  <si>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</si>
  <si>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</si>
  <si>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</si>
  <si>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</si>
  <si>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</si>
  <si>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</si>
  <si>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</si>
  <si>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</si>
  <si>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</si>
  <si>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</si>
  <si>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</si>
  <si>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</si>
  <si>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</si>
  <si>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</si>
  <si>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</si>
  <si>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</si>
  <si>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</si>
  <si>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</si>
  <si>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</si>
  <si>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</si>
  <si>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</si>
  <si>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</si>
  <si>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</si>
  <si>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</si>
  <si>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</si>
  <si>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</si>
  <si>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</si>
  <si>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</si>
  <si>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</si>
  <si>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</si>
  <si>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</si>
  <si>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</si>
  <si>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</si>
  <si>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</si>
  <si>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</si>
  <si>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</si>
  <si>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</si>
  <si>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</si>
  <si>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</si>
  <si>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</si>
  <si>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</si>
  <si>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</si>
  <si>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</si>
  <si>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</si>
  <si>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</si>
  <si>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</si>
  <si>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</si>
  <si>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</si>
  <si>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</si>
  <si>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</si>
  <si>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</si>
  <si>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</si>
  <si>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</si>
  <si>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</si>
  <si>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</si>
  <si>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</si>
  <si>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</si>
  <si>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</si>
  <si>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</si>
  <si>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</si>
  <si>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</si>
  <si>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</si>
  <si>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</si>
  <si>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</si>
  <si>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</si>
  <si>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</si>
  <si>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</si>
  <si>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</si>
  <si>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</si>
  <si>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</si>
  <si>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</si>
  <si>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</si>
  <si>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</si>
  <si>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</si>
  <si>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</si>
  <si>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</si>
  <si>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</si>
  <si>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</si>
  <si>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</si>
  <si>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</si>
  <si>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</si>
  <si>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</si>
  <si>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</si>
  <si>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</si>
  <si>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</si>
  <si>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</si>
  <si>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</si>
  <si>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</si>
  <si>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</si>
  <si>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</si>
  <si>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</si>
  <si>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</si>
  <si>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</si>
  <si>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</si>
  <si>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</si>
  <si>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</si>
  <si>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</si>
  <si>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</si>
  <si>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</si>
  <si>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</si>
  <si>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</si>
  <si>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</si>
  <si>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</si>
  <si>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</si>
  <si>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</si>
  <si>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</si>
  <si>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</si>
  <si>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</si>
  <si>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</si>
  <si>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</si>
  <si>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</si>
  <si>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</si>
  <si>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</si>
  <si>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</si>
  <si>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</si>
  <si>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</si>
  <si>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</si>
  <si>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</si>
  <si>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</si>
  <si>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</si>
  <si>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</si>
  <si>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</si>
  <si>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</si>
  <si>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</si>
  <si>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</si>
  <si>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</si>
  <si>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</si>
  <si>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</si>
  <si>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</si>
  <si>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</si>
  <si>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</si>
  <si>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</si>
  <si>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</si>
  <si>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</si>
  <si>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</si>
  <si>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</si>
  <si>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</si>
  <si>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</si>
  <si>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</si>
  <si>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</si>
  <si>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</si>
  <si>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</si>
  <si>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</si>
  <si>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</si>
  <si>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</si>
  <si>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</si>
  <si>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</si>
  <si>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</si>
  <si>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</si>
  <si>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</si>
  <si>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</si>
  <si>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</si>
  <si>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</si>
  <si>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</si>
  <si>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</si>
  <si>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</si>
  <si>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</si>
  <si>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</si>
  <si>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</si>
  <si>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</si>
  <si>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</si>
  <si>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</si>
  <si>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</si>
  <si>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</si>
  <si>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</si>
  <si>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</si>
  <si>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</si>
  <si>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</si>
  <si>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</si>
  <si>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</si>
  <si>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</si>
  <si>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</si>
  <si>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</si>
  <si>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</si>
  <si>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</si>
  <si>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</si>
  <si>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</si>
  <si>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</si>
  <si>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</si>
  <si>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</si>
  <si>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</si>
  <si>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</si>
  <si>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</si>
  <si>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</si>
  <si>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</si>
  <si>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</si>
  <si>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</si>
  <si>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</si>
  <si>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</si>
  <si>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</si>
  <si>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</si>
  <si>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</si>
  <si>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</si>
  <si>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</si>
  <si>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</si>
  <si>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</si>
  <si>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</si>
  <si>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</si>
  <si>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</si>
  <si>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</si>
  <si>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</si>
  <si>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</si>
  <si>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</si>
  <si>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</si>
  <si>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</si>
  <si>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</si>
  <si>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</si>
  <si>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</si>
  <si>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</si>
  <si>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</si>
  <si>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</si>
  <si>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</si>
  <si>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</si>
  <si>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</si>
  <si>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</si>
  <si>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</si>
  <si>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</si>
  <si>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</si>
  <si>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</si>
  <si>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</si>
  <si>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</si>
  <si>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</si>
  <si>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</si>
  <si>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</si>
  <si>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</si>
  <si>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</si>
  <si>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</si>
  <si>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</si>
  <si>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</si>
  <si>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</si>
  <si>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</si>
  <si>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</si>
  <si>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</si>
  <si>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</si>
  <si>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</si>
  <si>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</si>
  <si>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</si>
  <si>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</si>
  <si>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</si>
  <si>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</si>
  <si>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</si>
  <si>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</si>
  <si>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</si>
  <si>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</si>
  <si>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</si>
  <si>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</si>
  <si>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</si>
  <si>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</si>
  <si>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</si>
  <si>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</si>
  <si>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</si>
  <si>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</si>
  <si>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</si>
  <si>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</si>
  <si>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</si>
  <si>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</si>
  <si>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</si>
  <si>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</si>
  <si>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</si>
  <si>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</si>
  <si>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</si>
  <si>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</si>
  <si>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</si>
  <si>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</si>
  <si>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</si>
  <si>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</si>
  <si>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</si>
  <si>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</si>
  <si>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</si>
  <si>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</si>
  <si>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</si>
  <si>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</si>
  <si>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</si>
  <si>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</si>
  <si>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</si>
  <si>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</si>
  <si>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</si>
  <si>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</si>
  <si>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</si>
  <si>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</si>
  <si>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</si>
  <si>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</si>
  <si>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</si>
  <si>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</si>
  <si>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</si>
  <si>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</si>
  <si>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</si>
  <si>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</si>
  <si>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</si>
  <si>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</si>
  <si>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</si>
  <si>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</si>
  <si>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</si>
  <si>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</si>
  <si>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</si>
  <si>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</si>
  <si>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</si>
  <si>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</si>
  <si>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</si>
  <si>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</si>
  <si>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</si>
  <si>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</si>
  <si>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</si>
  <si>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</si>
  <si>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</si>
  <si>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</si>
  <si>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</si>
  <si>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</si>
  <si>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</si>
  <si>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</si>
  <si>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</si>
  <si>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</si>
  <si>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</si>
  <si>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</si>
  <si>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</si>
  <si>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</si>
  <si>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</si>
  <si>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</si>
  <si>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</si>
  <si>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</si>
  <si>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</si>
  <si>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</si>
  <si>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</si>
  <si>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</si>
  <si>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</si>
  <si>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</si>
  <si>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</si>
  <si>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</si>
  <si>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</si>
  <si>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</si>
  <si>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</si>
  <si>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</si>
  <si>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</si>
  <si>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</si>
  <si>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</si>
  <si>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</si>
  <si>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</si>
  <si>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</si>
  <si>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</si>
  <si>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</si>
  <si>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</si>
  <si>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</si>
  <si>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</si>
  <si>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</si>
  <si>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</si>
  <si>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</si>
  <si>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</si>
  <si>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</si>
  <si>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</si>
  <si>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</si>
  <si>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</si>
  <si>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</si>
  <si>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</si>
  <si>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</si>
  <si>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</si>
  <si>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</si>
  <si>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</si>
  <si>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</si>
  <si>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</si>
  <si>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</si>
  <si>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</si>
  <si>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</si>
  <si>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</si>
  <si>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</si>
  <si>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</si>
  <si>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</si>
  <si>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</si>
  <si>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</si>
  <si>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</si>
  <si>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</si>
  <si>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</si>
  <si>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</si>
  <si>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</si>
  <si>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</si>
  <si>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</si>
  <si>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</si>
  <si>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</si>
  <si>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</si>
  <si>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</si>
  <si>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</si>
  <si>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</si>
  <si>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</si>
  <si>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</si>
  <si>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</si>
  <si>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</si>
  <si>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</si>
  <si>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</si>
  <si>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</si>
  <si>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</si>
  <si>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</si>
  <si>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</si>
  <si>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</si>
  <si>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</si>
  <si>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</si>
  <si>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</si>
  <si>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</si>
  <si>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</si>
  <si>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</si>
  <si>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</si>
  <si>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</si>
  <si>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</si>
  <si>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</si>
  <si>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</si>
  <si>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</si>
  <si>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</si>
  <si>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</si>
  <si>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</si>
  <si>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</si>
  <si>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</si>
  <si>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</si>
  <si>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</si>
  <si>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</si>
  <si>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</si>
  <si>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</si>
  <si>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</si>
  <si>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</si>
  <si>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</si>
  <si>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</si>
  <si>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</si>
  <si>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</si>
  <si>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</si>
  <si>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</si>
  <si>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</si>
  <si>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</si>
  <si>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</si>
  <si>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</si>
  <si>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</si>
  <si>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</si>
  <si>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</si>
  <si>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</si>
  <si>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</si>
  <si>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</si>
  <si>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</si>
  <si>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</si>
  <si>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</si>
  <si>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</si>
  <si>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</si>
  <si>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</si>
  <si>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</si>
  <si>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</si>
  <si>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</si>
  <si>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</si>
  <si>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</si>
  <si>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</si>
  <si>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</si>
  <si>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</si>
  <si>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</si>
  <si>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</si>
  <si>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</si>
  <si>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</si>
  <si>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</si>
  <si>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</si>
  <si>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</si>
  <si>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</si>
  <si>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</si>
  <si>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</si>
  <si>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</si>
  <si>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</si>
  <si>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</si>
  <si>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</si>
  <si>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</si>
  <si>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</si>
  <si>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</si>
  <si>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</si>
  <si>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</si>
  <si>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</si>
  <si>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</si>
  <si>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</si>
  <si>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</si>
  <si>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</si>
  <si>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</si>
  <si>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</si>
  <si>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</si>
  <si>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</si>
  <si>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</si>
  <si>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</si>
  <si>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</si>
  <si>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</si>
  <si>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</si>
  <si>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</si>
  <si>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</si>
  <si>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</si>
  <si>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</si>
  <si>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</si>
  <si>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</si>
  <si>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</si>
  <si>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</si>
  <si>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</si>
  <si>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</si>
  <si>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</si>
  <si>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</si>
  <si>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</si>
  <si>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</si>
  <si>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</si>
  <si>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</si>
  <si>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</si>
  <si>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</si>
  <si>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</si>
  <si>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</si>
  <si>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</si>
  <si>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</si>
  <si>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</si>
  <si>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</si>
  <si>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</si>
  <si>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</si>
  <si>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</si>
  <si>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</si>
  <si>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</si>
  <si>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</si>
  <si>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</si>
  <si>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</si>
  <si>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</si>
  <si>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</si>
  <si>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</si>
  <si>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</si>
  <si>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</si>
  <si>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</si>
  <si>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</si>
  <si>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</si>
  <si>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</si>
  <si>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</si>
  <si>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</si>
  <si>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</si>
  <si>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</si>
  <si>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</si>
  <si>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</si>
  <si>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</si>
  <si>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</si>
  <si>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</si>
  <si>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</si>
  <si>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</si>
  <si>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</si>
  <si>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</si>
  <si>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</si>
  <si>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</si>
  <si>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</si>
  <si>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</si>
  <si>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</si>
  <si>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</si>
  <si>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</si>
  <si>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</si>
  <si>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</si>
  <si>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</si>
  <si>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</si>
  <si>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</si>
  <si>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</si>
  <si>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</si>
  <si>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</si>
  <si>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</si>
  <si>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</si>
  <si>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</si>
  <si>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</si>
  <si>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</si>
  <si>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</si>
  <si>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</si>
  <si>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</si>
  <si>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</si>
  <si>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</si>
  <si>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</si>
  <si>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</si>
  <si>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</si>
  <si>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</si>
  <si>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</si>
  <si>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</si>
  <si>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</si>
  <si>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</si>
  <si>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</si>
  <si>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</si>
  <si>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</si>
  <si>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</si>
  <si>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</si>
  <si>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</si>
  <si>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</si>
  <si>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</si>
  <si>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</si>
  <si>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</si>
  <si>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</si>
  <si>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</si>
  <si>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</si>
  <si>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</si>
  <si>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</si>
  <si>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</si>
  <si>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</si>
  <si>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</si>
  <si>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</si>
  <si>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</si>
  <si>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</si>
  <si>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</si>
  <si>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</si>
  <si>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</si>
  <si>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</si>
  <si>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</si>
  <si>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</si>
  <si>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</si>
  <si>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</si>
  <si>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</si>
  <si>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</si>
  <si>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</si>
  <si>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</si>
  <si>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</si>
  <si>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</si>
  <si>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</si>
  <si>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</si>
  <si>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</si>
  <si>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</si>
  <si>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</si>
  <si>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</si>
  <si>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</si>
  <si>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</si>
  <si>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</si>
  <si>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</si>
  <si>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</si>
  <si>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</si>
  <si>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</si>
  <si>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</si>
  <si>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</si>
  <si>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</si>
  <si>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</si>
  <si>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</si>
  <si>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</si>
  <si>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</si>
  <si>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</si>
  <si>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</si>
  <si>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</si>
  <si>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</si>
  <si>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</si>
  <si>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</si>
  <si>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</si>
  <si>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</si>
  <si>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</si>
  <si>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</si>
  <si>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</si>
  <si>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</si>
  <si>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</si>
  <si>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</si>
  <si>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</si>
  <si>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</si>
  <si>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</si>
  <si>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</si>
  <si>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</si>
  <si>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</si>
  <si>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</si>
  <si>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</si>
  <si>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</si>
  <si>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</si>
  <si>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</si>
  <si>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</si>
  <si>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</si>
  <si>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</si>
  <si>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</si>
  <si>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</si>
  <si>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</si>
  <si>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</si>
  <si>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</si>
  <si>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</si>
  <si>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</si>
  <si>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</si>
  <si>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</si>
  <si>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</si>
  <si>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</si>
  <si>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</si>
  <si>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</si>
  <si>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</si>
  <si>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</si>
  <si>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</si>
  <si>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</si>
  <si>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</si>
  <si>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</si>
  <si>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</si>
  <si>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</si>
  <si>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</si>
  <si>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</si>
  <si>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</si>
  <si>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</si>
  <si>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</si>
  <si>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</si>
  <si>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</si>
  <si>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</si>
  <si>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</si>
  <si>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</si>
  <si>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</si>
  <si>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</si>
  <si>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</si>
  <si>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</si>
  <si>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</si>
  <si>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</si>
  <si>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</si>
  <si>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</si>
  <si>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</si>
  <si>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</si>
  <si>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</si>
  <si>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</si>
  <si>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</si>
  <si>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</si>
  <si>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</si>
  <si>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</si>
  <si>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</si>
  <si>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</si>
  <si>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</si>
  <si>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</si>
  <si>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</si>
  <si>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</si>
  <si>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</si>
  <si>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</si>
  <si>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</si>
  <si>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</si>
  <si>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</si>
  <si>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</si>
  <si>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</si>
  <si>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</si>
  <si>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</si>
  <si>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</si>
  <si>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</si>
  <si>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</si>
  <si>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</si>
  <si>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</si>
  <si>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</si>
  <si>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</si>
  <si>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</si>
  <si>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</si>
  <si>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</si>
  <si>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</si>
  <si>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</si>
  <si>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</si>
  <si>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</si>
  <si>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</si>
  <si>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</si>
  <si>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</si>
  <si>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</si>
  <si>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</si>
  <si>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</si>
  <si>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</si>
  <si>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</si>
  <si>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</si>
  <si>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</si>
  <si>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</si>
  <si>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</si>
  <si>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</si>
  <si>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</si>
  <si>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</si>
  <si>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</si>
  <si>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</si>
  <si>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</si>
  <si>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</si>
  <si>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</si>
  <si>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</si>
  <si>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</si>
  <si>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</si>
  <si>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</si>
  <si>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</si>
  <si>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</si>
  <si>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</si>
  <si>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</si>
  <si>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</si>
  <si>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</si>
  <si>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</si>
  <si>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</si>
  <si>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</si>
  <si>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</si>
  <si>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</si>
  <si>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</si>
  <si>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</si>
  <si>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</si>
  <si>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</si>
  <si>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</si>
  <si>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</si>
  <si>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</si>
  <si>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</si>
  <si>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</si>
  <si>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</si>
  <si>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</si>
  <si>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</si>
  <si>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</si>
  <si>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</si>
  <si>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</si>
  <si>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</si>
  <si>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</si>
  <si>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</si>
  <si>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</si>
  <si>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</si>
  <si>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</si>
  <si>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</si>
  <si>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</si>
  <si>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</si>
  <si>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</si>
  <si>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</si>
  <si>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</si>
  <si>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</si>
  <si>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</si>
  <si>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</si>
  <si>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</si>
  <si>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</si>
  <si>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</si>
  <si>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</si>
  <si>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</si>
  <si>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</si>
  <si>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</si>
  <si>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</si>
  <si>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</si>
  <si>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</si>
  <si>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</si>
  <si>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</si>
  <si>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</si>
  <si>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</si>
  <si>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</si>
  <si>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</si>
  <si>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</si>
  <si>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</si>
  <si>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</si>
  <si>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</si>
  <si>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</si>
  <si>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</si>
  <si>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</si>
  <si>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</si>
  <si>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</si>
  <si>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</si>
  <si>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</si>
  <si>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</si>
  <si>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</si>
  <si>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</si>
  <si>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</si>
  <si>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</si>
  <si>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</si>
  <si>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</si>
  <si>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</si>
  <si>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</si>
  <si>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</si>
  <si>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</si>
  <si>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</si>
  <si>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</si>
  <si>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</si>
  <si>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</si>
  <si>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</si>
  <si>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</si>
  <si>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</si>
  <si>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</si>
  <si>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</si>
  <si>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</si>
  <si>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</si>
  <si>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</si>
  <si>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</si>
  <si>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</si>
  <si>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</si>
  <si>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</si>
  <si>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</si>
  <si>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</si>
  <si>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</si>
  <si>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</si>
  <si>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</si>
  <si>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</si>
  <si>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</si>
  <si>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</si>
  <si>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</si>
  <si>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</si>
  <si>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</si>
  <si>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</si>
  <si>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</si>
  <si>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</si>
  <si>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</si>
  <si>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</si>
  <si>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</si>
  <si>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</si>
  <si>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</si>
  <si>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</si>
  <si>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</si>
  <si>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</si>
  <si>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</si>
  <si>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</si>
  <si>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</si>
  <si>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</si>
  <si>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</si>
  <si>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</si>
  <si>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</si>
  <si>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</si>
  <si>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</si>
  <si>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</si>
  <si>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</si>
  <si>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</si>
  <si>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</si>
  <si>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</si>
  <si>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</si>
  <si>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</si>
  <si>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</si>
  <si>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</si>
  <si>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</si>
  <si>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</si>
  <si>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</si>
  <si>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</si>
  <si>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</si>
  <si>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</si>
  <si>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</si>
  <si>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</si>
  <si>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</si>
  <si>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</si>
  <si>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</si>
  <si>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</si>
  <si>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</si>
  <si>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</si>
  <si>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</si>
  <si>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</si>
  <si>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</si>
  <si>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</si>
  <si>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</si>
  <si>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</si>
  <si>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</si>
  <si>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</si>
  <si>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</si>
  <si>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</si>
  <si>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</si>
  <si>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</si>
  <si>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</si>
  <si>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</si>
  <si>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</si>
  <si>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</si>
  <si>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</si>
  <si>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</si>
  <si>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</si>
  <si>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</si>
  <si>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</si>
  <si>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</si>
  <si>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</si>
  <si>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</si>
  <si>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</si>
  <si>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</si>
  <si>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</si>
  <si>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</si>
  <si>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</si>
  <si>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</si>
  <si>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</si>
  <si>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</si>
  <si>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</si>
  <si>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</si>
  <si>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</si>
  <si>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</si>
  <si>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</si>
  <si>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</si>
  <si>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</si>
  <si>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</si>
  <si>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</si>
  <si>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</si>
  <si>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</si>
  <si>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</si>
  <si>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</si>
  <si>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</si>
  <si>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</si>
  <si>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</si>
  <si>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</si>
  <si>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</si>
  <si>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</si>
  <si>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</si>
  <si>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</si>
  <si>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</si>
  <si>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</si>
  <si>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</si>
  <si>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</si>
  <si>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</si>
  <si>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</si>
  <si>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</si>
  <si>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</si>
  <si>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</si>
  <si>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</si>
  <si>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</si>
  <si>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</si>
  <si>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</si>
  <si>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</si>
  <si>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</si>
  <si>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</si>
  <si>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</si>
  <si>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</si>
  <si>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</si>
  <si>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</si>
  <si>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</si>
  <si>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</si>
  <si>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</si>
  <si>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</si>
  <si>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</si>
  <si>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</si>
  <si>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</si>
  <si>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</si>
  <si>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</si>
  <si>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</si>
  <si>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</si>
  <si>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</si>
  <si>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</si>
  <si>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</si>
  <si>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</si>
  <si>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</si>
  <si>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</si>
  <si>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</si>
  <si>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</si>
  <si>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</si>
  <si>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</si>
  <si>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</si>
  <si>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</si>
  <si>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</si>
  <si>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</si>
  <si>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</si>
  <si>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</si>
  <si>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</si>
  <si>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</si>
  <si>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</si>
  <si>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</si>
  <si>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</si>
  <si>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</si>
  <si>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</si>
  <si>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</si>
  <si>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</si>
  <si>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</si>
  <si>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</si>
  <si>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</si>
  <si>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</si>
  <si>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</si>
  <si>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</si>
  <si>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</si>
  <si>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</si>
  <si>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</si>
  <si>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</si>
  <si>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</si>
  <si>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</si>
  <si>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</si>
  <si>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</si>
  <si>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</si>
  <si>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</si>
  <si>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</si>
  <si>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</si>
  <si>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</si>
  <si>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</si>
  <si>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</si>
  <si>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</si>
  <si>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</si>
  <si>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</si>
  <si>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</si>
  <si>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</si>
  <si>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</si>
  <si>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</si>
  <si>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</si>
  <si>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</si>
  <si>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</si>
  <si>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</si>
  <si>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</si>
  <si>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</si>
  <si>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</si>
  <si>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</si>
  <si>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</si>
  <si>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</si>
  <si>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</si>
  <si>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</si>
  <si>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</si>
  <si>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</si>
  <si>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</si>
  <si>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</si>
  <si>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</si>
  <si>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</si>
  <si>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</si>
  <si>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</si>
  <si>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</si>
  <si>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</si>
  <si>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</si>
  <si>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</si>
  <si>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</si>
  <si>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</si>
  <si>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</si>
  <si>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</si>
  <si>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</si>
  <si>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</si>
  <si>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</si>
  <si>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</si>
  <si>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</si>
  <si>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</si>
  <si>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</si>
  <si>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</si>
  <si>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</si>
  <si>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</si>
  <si>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</si>
  <si>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</si>
  <si>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</si>
  <si>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</si>
  <si>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</si>
  <si>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</si>
  <si>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</si>
  <si>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</si>
  <si>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</si>
  <si>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</si>
  <si>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</si>
  <si>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</si>
  <si>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</si>
  <si>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</si>
  <si>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</si>
  <si>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</si>
  <si>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</si>
  <si>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</si>
  <si>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</si>
  <si>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</si>
  <si>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</si>
  <si>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</si>
  <si>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</si>
  <si>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</si>
  <si>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</si>
  <si>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</si>
  <si>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</si>
  <si>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</si>
  <si>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</si>
  <si>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</si>
  <si>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</si>
  <si>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</si>
  <si>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</si>
  <si>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</si>
  <si>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</si>
  <si>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</si>
  <si>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</si>
  <si>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</si>
  <si>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</si>
  <si>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</si>
  <si>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</si>
  <si>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</si>
  <si>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</si>
  <si>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</si>
  <si>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</si>
  <si>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</si>
  <si>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</si>
  <si>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</si>
  <si>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</si>
  <si>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</si>
  <si>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</si>
  <si>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</si>
  <si>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</si>
  <si>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</si>
  <si>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</si>
  <si>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</si>
  <si>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</si>
  <si>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</si>
  <si>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</si>
  <si>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</si>
  <si>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</si>
  <si>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</si>
  <si>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</si>
  <si>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</si>
  <si>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</si>
  <si>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</si>
  <si>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</si>
  <si>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</si>
  <si>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</si>
  <si>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</si>
  <si>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</si>
  <si>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</si>
  <si>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</si>
  <si>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</si>
  <si>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</si>
  <si>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</si>
  <si>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</si>
  <si>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</si>
  <si>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</si>
  <si>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</si>
  <si>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</si>
  <si>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</si>
  <si>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</si>
  <si>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</si>
  <si>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</si>
  <si>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</si>
  <si>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</si>
  <si>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</si>
  <si>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</si>
  <si>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</si>
  <si>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</si>
  <si>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</si>
  <si>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</si>
  <si>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</si>
  <si>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</si>
  <si>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</si>
  <si>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</si>
  <si>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</si>
  <si>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</si>
  <si>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</si>
  <si>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</si>
  <si>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</si>
  <si>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</si>
  <si>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</si>
  <si>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</si>
  <si>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</si>
  <si>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</si>
  <si>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</si>
  <si>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</si>
  <si>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</si>
  <si>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</si>
  <si>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</si>
  <si>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</si>
  <si>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</si>
  <si>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</si>
  <si>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</si>
  <si>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</si>
  <si>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</si>
  <si>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</si>
  <si>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</si>
  <si>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</si>
  <si>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</si>
  <si>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</si>
  <si>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</si>
  <si>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</si>
  <si>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</si>
  <si>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</si>
  <si>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</si>
  <si>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</si>
  <si>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</si>
  <si>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</si>
  <si>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</si>
  <si>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</si>
  <si>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</si>
  <si>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</si>
  <si>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</si>
  <si>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</si>
  <si>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</si>
  <si>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</si>
  <si>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</si>
  <si>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</si>
  <si>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</si>
  <si>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</si>
  <si>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</si>
  <si>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</si>
  <si>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</si>
  <si>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</si>
  <si>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</si>
  <si>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</si>
  <si>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</si>
  <si>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</si>
  <si>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</si>
  <si>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</si>
  <si>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</si>
  <si>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</si>
  <si>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</si>
  <si>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</si>
  <si>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</si>
  <si>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</si>
  <si>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</si>
  <si>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</si>
  <si>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</si>
  <si>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</si>
  <si>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</si>
  <si>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</si>
  <si>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</si>
  <si>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</si>
  <si>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</si>
  <si>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</si>
  <si>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</si>
  <si>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</si>
  <si>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</si>
  <si>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</si>
  <si>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</si>
  <si>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</si>
  <si>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</si>
  <si>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</si>
  <si>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</si>
  <si>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</si>
  <si>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</si>
  <si>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</si>
  <si>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</si>
  <si>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</si>
  <si>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</si>
  <si>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</si>
  <si>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</si>
  <si>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</si>
  <si>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</si>
  <si>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</si>
  <si>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</si>
  <si>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</si>
  <si>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</si>
  <si>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</si>
  <si>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</si>
  <si>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</si>
  <si>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</si>
  <si>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</si>
  <si>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</si>
  <si>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</si>
  <si>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</si>
  <si>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</si>
  <si>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</si>
  <si>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</si>
  <si>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</si>
  <si>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</si>
  <si>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</si>
  <si>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</si>
  <si>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</si>
  <si>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</si>
  <si>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</si>
  <si>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</si>
  <si>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</si>
  <si>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</si>
  <si>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</si>
  <si>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</si>
  <si>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</si>
  <si>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</si>
  <si>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</si>
  <si>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</si>
  <si>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</si>
  <si>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</si>
  <si>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</si>
  <si>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</si>
  <si>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</si>
  <si>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</si>
  <si>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</si>
  <si>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</si>
  <si>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</si>
  <si>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</si>
  <si>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</si>
  <si>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</si>
  <si>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</si>
  <si>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</si>
  <si>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</si>
  <si>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</si>
  <si>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</si>
  <si>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</si>
  <si>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</si>
  <si>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</si>
  <si>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</si>
  <si>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</si>
  <si>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</si>
  <si>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</si>
  <si>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</si>
  <si>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</si>
  <si>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</si>
  <si>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</si>
  <si>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</si>
  <si>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</si>
  <si>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</si>
  <si>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</si>
  <si>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</si>
  <si>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</si>
  <si>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</si>
  <si>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</si>
  <si>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</si>
  <si>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</si>
  <si>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</si>
  <si>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</si>
  <si>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</si>
  <si>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</si>
  <si>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</si>
  <si>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</si>
  <si>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</si>
  <si>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</si>
  <si>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</si>
  <si>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</si>
  <si>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</si>
  <si>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</si>
  <si>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</si>
  <si>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</si>
  <si>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</si>
  <si>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</si>
  <si>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</si>
  <si>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</si>
  <si>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</si>
  <si>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</si>
  <si>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</si>
  <si>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</si>
  <si>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</si>
  <si>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</si>
  <si>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</si>
  <si>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</si>
  <si>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</si>
  <si>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</si>
  <si>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</si>
  <si>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</si>
  <si>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</si>
  <si>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</si>
  <si>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</si>
  <si>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</si>
  <si>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</si>
  <si>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</si>
  <si>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</si>
  <si>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</si>
  <si>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</si>
  <si>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</si>
  <si>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</si>
  <si>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</si>
  <si>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</si>
  <si>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</si>
  <si>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</si>
  <si>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</si>
  <si>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</si>
  <si>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</si>
  <si>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</si>
  <si>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</si>
  <si>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</si>
  <si>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</si>
  <si>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</si>
  <si>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</si>
  <si>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</si>
  <si>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</si>
  <si>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</si>
  <si>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</si>
  <si>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</si>
  <si>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</si>
  <si>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</si>
  <si>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</si>
  <si>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</si>
  <si>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</si>
  <si>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</si>
  <si>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</si>
  <si>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</si>
  <si>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</si>
  <si>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</si>
  <si>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</si>
  <si>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</si>
  <si>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</si>
  <si>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</si>
  <si>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</si>
  <si>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</si>
  <si>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</si>
  <si>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</si>
  <si>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</si>
  <si>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</si>
  <si>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</si>
  <si>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</si>
  <si>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</si>
  <si>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</si>
  <si>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</si>
  <si>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</si>
  <si>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</si>
  <si>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</si>
  <si>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</si>
  <si>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</si>
  <si>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</si>
  <si>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</si>
  <si>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</si>
  <si>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</si>
  <si>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</si>
  <si>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</si>
  <si>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</si>
  <si>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</si>
  <si>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</si>
  <si>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</si>
  <si>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</si>
  <si>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</si>
  <si>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</si>
  <si>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</si>
  <si>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</si>
  <si>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</si>
  <si>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</si>
  <si>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</si>
  <si>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</si>
  <si>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</si>
  <si>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</si>
  <si>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</si>
  <si>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</si>
  <si>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</si>
  <si>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</si>
  <si>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</si>
  <si>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</si>
  <si>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</si>
  <si>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</si>
  <si>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</si>
  <si>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</si>
  <si>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</si>
  <si>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</si>
  <si>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</si>
  <si>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</si>
  <si>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</si>
  <si>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</si>
  <si>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</si>
  <si>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</si>
  <si>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</si>
  <si>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</si>
  <si>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</si>
  <si>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</si>
  <si>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</si>
  <si>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</si>
  <si>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</si>
  <si>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</si>
  <si>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</si>
  <si>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</si>
  <si>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</si>
  <si>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</si>
  <si>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</si>
  <si>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</si>
  <si>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</si>
  <si>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</si>
  <si>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</si>
  <si>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</si>
  <si>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</si>
  <si>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</si>
  <si>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</si>
  <si>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</si>
  <si>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</si>
  <si>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</si>
  <si>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</si>
  <si>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</si>
  <si>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</si>
  <si>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</si>
  <si>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</si>
  <si>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</si>
  <si>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</si>
  <si>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</si>
  <si>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</si>
  <si>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</si>
  <si>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</si>
  <si>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</si>
  <si>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</si>
  <si>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</si>
  <si>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</si>
  <si>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</si>
  <si>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</si>
  <si>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</si>
  <si>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</si>
  <si>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</si>
  <si>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</si>
  <si>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</si>
  <si>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</si>
  <si>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</si>
  <si>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</si>
  <si>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</si>
  <si>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</si>
  <si>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</si>
  <si>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</si>
  <si>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</si>
  <si>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</si>
  <si>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</si>
  <si>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</si>
  <si>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</si>
  <si>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</si>
  <si>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</si>
  <si>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</si>
  <si>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</si>
  <si>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</si>
  <si>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</si>
  <si>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</si>
  <si>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</si>
  <si>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</si>
  <si>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</si>
  <si>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</si>
  <si>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</si>
  <si>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</si>
  <si>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</si>
  <si>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</si>
  <si>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</si>
  <si>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</si>
  <si>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</si>
  <si>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</si>
  <si>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</si>
  <si>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</si>
  <si>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</si>
  <si>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</si>
  <si>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</si>
  <si>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</si>
  <si>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</si>
  <si>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</si>
  <si>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</si>
  <si>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</si>
  <si>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</si>
  <si>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</si>
  <si>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</si>
  <si>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</si>
  <si>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</si>
  <si>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</si>
  <si>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</si>
  <si>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</si>
  <si>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</si>
  <si>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</si>
  <si>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</si>
  <si>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</si>
  <si>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</si>
  <si>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</si>
  <si>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</si>
  <si>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</si>
  <si>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</si>
  <si>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</si>
  <si>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</si>
  <si>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</si>
  <si>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</si>
  <si>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</si>
  <si>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</si>
  <si>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</si>
  <si>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</si>
  <si>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</si>
  <si>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</si>
  <si>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</si>
  <si>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</si>
  <si>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</si>
  <si>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</si>
  <si>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</si>
  <si>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</si>
  <si>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</si>
  <si>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</si>
  <si>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</si>
  <si>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</si>
  <si>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</si>
  <si>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</si>
  <si>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</si>
  <si>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</si>
  <si>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</si>
  <si>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</si>
  <si>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</si>
  <si>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</si>
  <si>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</si>
  <si>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</si>
  <si>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</si>
  <si>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</si>
  <si>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</si>
  <si>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</si>
  <si>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</si>
  <si>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</si>
  <si>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</si>
  <si>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</si>
  <si>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</si>
  <si>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</si>
  <si>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</si>
  <si>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</si>
  <si>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</si>
  <si>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</si>
  <si>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</si>
  <si>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</si>
  <si>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</si>
  <si>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</si>
  <si>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</si>
  <si>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</si>
  <si>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</si>
  <si>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</si>
  <si>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</si>
  <si>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</si>
  <si>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</si>
  <si>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</si>
  <si>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</si>
  <si>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</si>
  <si>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</si>
  <si>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</si>
  <si>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</si>
  <si>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</si>
  <si>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</si>
  <si>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</si>
  <si>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</si>
  <si>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</si>
  <si>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</si>
  <si>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</si>
  <si>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</si>
  <si>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</si>
  <si>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</si>
  <si>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</si>
  <si>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</si>
  <si>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</si>
  <si>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</si>
  <si>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</si>
  <si>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</si>
  <si>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</si>
  <si>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</si>
  <si>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</si>
  <si>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</si>
  <si>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</si>
  <si>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</si>
  <si>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</si>
  <si>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</si>
  <si>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</si>
  <si>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</si>
  <si>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</si>
  <si>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</si>
  <si>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</si>
  <si>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</si>
  <si>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</si>
  <si>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</si>
  <si>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</si>
  <si>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</si>
  <si>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</si>
  <si>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</si>
  <si>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</si>
  <si>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</si>
  <si>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</si>
  <si>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</si>
  <si>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</si>
  <si>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</si>
  <si>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</si>
  <si>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</si>
  <si>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</si>
  <si>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</si>
  <si>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</si>
  <si>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</si>
  <si>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</si>
  <si>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</si>
  <si>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</si>
  <si>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</si>
  <si>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</si>
  <si>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</si>
  <si>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</si>
  <si>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</si>
  <si>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</si>
  <si>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</si>
  <si>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</si>
  <si>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</si>
  <si>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</si>
  <si>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</si>
  <si>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</si>
  <si>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</si>
  <si>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</si>
  <si>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</si>
  <si>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</si>
  <si>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</si>
  <si>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</si>
  <si>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</si>
  <si>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</si>
  <si>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</si>
  <si>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</si>
  <si>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</si>
  <si>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</si>
  <si>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</si>
  <si>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</si>
  <si>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</si>
  <si>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</si>
  <si>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</si>
  <si>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</si>
  <si>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</si>
  <si>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</si>
  <si>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</si>
  <si>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</si>
  <si>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</si>
  <si>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</si>
  <si>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</si>
  <si>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</si>
  <si>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</si>
  <si>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</si>
  <si>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</si>
  <si>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</si>
  <si>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</si>
  <si>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</si>
  <si>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</si>
  <si>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</si>
  <si>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</si>
  <si>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</si>
  <si>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</si>
  <si>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</si>
  <si>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</si>
  <si>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</si>
  <si>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</si>
  <si>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</si>
  <si>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</si>
  <si>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</si>
  <si>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</si>
  <si>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</si>
  <si>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</si>
  <si>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</si>
  <si>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</si>
  <si>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</si>
  <si>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</si>
  <si>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</si>
  <si>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</si>
  <si>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</si>
  <si>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</si>
  <si>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</si>
  <si>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</si>
  <si>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</si>
  <si>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</si>
  <si>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</si>
  <si>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</si>
  <si>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</si>
  <si>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</si>
  <si>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</si>
  <si>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</si>
  <si>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</si>
  <si>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</si>
  <si>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</si>
  <si>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</si>
  <si>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</si>
  <si>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</si>
  <si>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</si>
  <si>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</si>
  <si>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</si>
  <si>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</si>
  <si>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</si>
  <si>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</si>
  <si>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</si>
  <si>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</si>
  <si>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</si>
  <si>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</si>
  <si>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</si>
  <si>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</si>
  <si>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</si>
  <si>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</si>
  <si>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</si>
  <si>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</si>
  <si>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</si>
  <si>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</si>
  <si>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</si>
  <si>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</si>
  <si>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</si>
  <si>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</si>
  <si>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</si>
  <si>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</si>
  <si>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</si>
  <si>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</si>
  <si>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</si>
  <si>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</si>
  <si>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</si>
  <si>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</si>
  <si>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</si>
  <si>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</si>
  <si>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</si>
  <si>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</si>
  <si>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</si>
  <si>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</si>
  <si>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</si>
  <si>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</si>
  <si>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</si>
  <si>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</si>
  <si>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</si>
  <si>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</si>
  <si>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</si>
  <si>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</si>
  <si>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</si>
  <si>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</si>
  <si>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</si>
  <si>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</si>
  <si>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</si>
  <si>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</si>
  <si>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</si>
  <si>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</si>
  <si>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</si>
  <si>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</si>
  <si>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</si>
  <si>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</si>
  <si>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</si>
  <si>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</si>
  <si>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</si>
  <si>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</si>
  <si>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</si>
  <si>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</si>
  <si>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</si>
  <si>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</si>
  <si>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</si>
  <si>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</si>
  <si>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</si>
  <si>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</si>
  <si>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</si>
  <si>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</si>
  <si>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</si>
  <si>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</si>
  <si>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</si>
  <si>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</si>
  <si>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</si>
  <si>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</si>
  <si>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</si>
  <si>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</si>
  <si>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</si>
  <si>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</si>
  <si>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</si>
  <si>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</si>
  <si>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</si>
  <si>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</si>
  <si>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</si>
  <si>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</si>
  <si>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</si>
  <si>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</si>
  <si>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</si>
  <si>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</si>
  <si>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</si>
  <si>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</si>
  <si>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</si>
  <si>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</si>
  <si>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</si>
  <si>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</si>
  <si>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</si>
  <si>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</si>
  <si>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</si>
  <si>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</si>
  <si>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</si>
  <si>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</si>
  <si>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</si>
  <si>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</si>
  <si>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</si>
  <si>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</si>
  <si>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</si>
  <si>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</si>
  <si>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</si>
  <si>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</si>
  <si>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</si>
  <si>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</si>
  <si>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</si>
  <si>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</si>
  <si>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</si>
  <si>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</si>
  <si>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</si>
  <si>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</si>
  <si>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</si>
  <si>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</si>
  <si>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</si>
  <si>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</si>
  <si>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</si>
  <si>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</si>
  <si>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</si>
  <si>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</si>
  <si>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</si>
  <si>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</si>
  <si>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</si>
  <si>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</si>
  <si>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</si>
  <si>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</si>
  <si>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</si>
  <si>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</si>
  <si>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</si>
  <si>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</si>
  <si>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</si>
  <si>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</si>
  <si>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</si>
  <si>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</si>
  <si>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</si>
  <si>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</si>
  <si>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</si>
  <si>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</si>
  <si>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</si>
  <si>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</si>
  <si>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</si>
  <si>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</si>
  <si>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</si>
  <si>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</si>
  <si>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</si>
  <si>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</si>
  <si>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</si>
  <si>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</si>
  <si>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</si>
  <si>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</si>
  <si>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</si>
  <si>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</si>
  <si>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</si>
  <si>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</si>
  <si>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</si>
  <si>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</si>
  <si>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</si>
  <si>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</si>
  <si>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</si>
  <si>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</si>
  <si>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</si>
  <si>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</si>
  <si>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</si>
  <si>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</si>
  <si>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</si>
  <si>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</si>
  <si>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</si>
  <si>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</si>
  <si>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</si>
  <si>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</si>
  <si>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</si>
  <si>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</si>
  <si>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</si>
  <si>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</si>
  <si>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</si>
  <si>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</si>
  <si>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</si>
  <si>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</si>
  <si>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</si>
  <si>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</si>
  <si>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</si>
  <si>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</si>
  <si>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</si>
  <si>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</si>
  <si>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</si>
  <si>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</si>
  <si>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</si>
  <si>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</si>
  <si>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</si>
  <si>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</si>
  <si>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</si>
  <si>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</si>
  <si>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</si>
  <si>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</si>
  <si>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</si>
  <si>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</si>
  <si>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</si>
  <si>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</si>
  <si>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</si>
  <si>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</si>
  <si>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</si>
  <si>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</si>
  <si>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</si>
  <si>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</si>
  <si>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</si>
  <si>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</si>
  <si>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</si>
  <si>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</si>
  <si>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</si>
  <si>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</si>
  <si>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</si>
  <si>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</si>
  <si>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</si>
  <si>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</si>
  <si>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</si>
  <si>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</si>
  <si>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</si>
  <si>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</si>
  <si>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</si>
  <si>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</si>
  <si>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</si>
  <si>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</si>
  <si>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</si>
  <si>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</si>
  <si>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</si>
  <si>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</si>
  <si>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</si>
  <si>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</si>
  <si>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</si>
  <si>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</si>
  <si>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</si>
  <si>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</si>
  <si>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</si>
  <si>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</si>
  <si>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</si>
  <si>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</si>
  <si>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</si>
  <si>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</si>
  <si>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</si>
  <si>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</si>
  <si>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</si>
  <si>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</si>
  <si>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</si>
  <si>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</si>
  <si>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</si>
  <si>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</si>
  <si>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</si>
  <si>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</si>
  <si>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</si>
  <si>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</si>
  <si>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</si>
  <si>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</si>
  <si>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</si>
  <si>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</si>
  <si>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</si>
  <si>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</si>
  <si>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</si>
  <si>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</si>
  <si>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</si>
  <si>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</si>
  <si>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</si>
  <si>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</si>
  <si>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</si>
  <si>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</si>
  <si>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</si>
  <si>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</si>
  <si>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</si>
  <si>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</si>
  <si>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</si>
  <si>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</si>
  <si>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</si>
  <si>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</si>
  <si>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</si>
  <si>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</si>
  <si>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</si>
  <si>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</si>
  <si>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</si>
  <si>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</si>
  <si>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</si>
  <si>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</si>
  <si>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</si>
  <si>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</si>
  <si>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</si>
  <si>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</si>
  <si>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</si>
  <si>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</si>
  <si>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</si>
  <si>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</si>
  <si>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</si>
  <si>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</si>
  <si>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</si>
  <si>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</si>
  <si>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</si>
  <si>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</si>
  <si>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</si>
  <si>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</si>
  <si>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</si>
  <si>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</si>
  <si>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</si>
  <si>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</si>
  <si>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</si>
  <si>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</si>
  <si>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</si>
  <si>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</si>
  <si>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</si>
  <si>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</si>
  <si>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</si>
  <si>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</si>
  <si>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</si>
  <si>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</si>
  <si>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</si>
  <si>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</si>
  <si>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</si>
  <si>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</si>
  <si>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</si>
  <si>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</si>
  <si>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</si>
  <si>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</si>
  <si>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</si>
  <si>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</si>
  <si>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</si>
  <si>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</si>
  <si>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</si>
  <si>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</si>
  <si>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</si>
  <si>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</si>
  <si>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</si>
  <si>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</si>
  <si>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</si>
  <si>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</si>
  <si>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</si>
  <si>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</si>
  <si>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</si>
  <si>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</si>
  <si>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</si>
  <si>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</si>
  <si>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</si>
  <si>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</si>
  <si>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</si>
  <si>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</si>
  <si>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</si>
  <si>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</si>
  <si>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</si>
  <si>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</si>
  <si>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</si>
  <si>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</si>
  <si>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</si>
  <si>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</si>
  <si>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</si>
  <si>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</si>
  <si>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</si>
  <si>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</si>
  <si>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</si>
  <si>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</si>
  <si>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</si>
  <si>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</si>
  <si>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</si>
  <si>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</si>
  <si>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</si>
  <si>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</si>
  <si>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</si>
  <si>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</si>
  <si>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</si>
  <si>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</si>
  <si>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</si>
  <si>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</si>
  <si>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</si>
  <si>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</si>
  <si>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</si>
  <si>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</si>
  <si>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</si>
  <si>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</si>
  <si>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</si>
  <si>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</si>
  <si>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</si>
  <si>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</si>
  <si>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</si>
  <si>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</si>
  <si>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</si>
  <si>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</si>
  <si>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</si>
  <si>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</si>
  <si>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</si>
  <si>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</si>
  <si>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</si>
  <si>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</si>
  <si>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</si>
  <si>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</si>
  <si>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</si>
  <si>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</si>
  <si>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</si>
  <si>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</si>
  <si>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</si>
  <si>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</si>
  <si>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</si>
  <si>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</si>
  <si>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</si>
  <si>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</si>
  <si>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</si>
  <si>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</si>
  <si>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</si>
  <si>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</si>
  <si>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</si>
  <si>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</si>
  <si>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</si>
  <si>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</si>
  <si>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</si>
  <si>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</si>
  <si>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</si>
  <si>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</si>
  <si>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</si>
  <si>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</si>
  <si>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</si>
  <si>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</si>
  <si>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</si>
  <si>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</si>
  <si>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</si>
  <si>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</si>
  <si>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</si>
  <si>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</si>
  <si>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</si>
  <si>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</si>
  <si>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</si>
  <si>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</si>
  <si>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</si>
  <si>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</si>
  <si>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</si>
  <si>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</si>
  <si>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</si>
  <si>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</si>
  <si>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</si>
  <si>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</si>
  <si>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</si>
  <si>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</si>
  <si>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</si>
  <si>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</si>
  <si>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</si>
  <si>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</si>
  <si>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</si>
  <si>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</si>
  <si>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</si>
  <si>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</si>
  <si>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</si>
  <si>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</si>
  <si>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</si>
  <si>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</si>
  <si>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</si>
  <si>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</si>
  <si>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</si>
  <si>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</si>
  <si>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</si>
  <si>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</si>
  <si>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</si>
  <si>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</si>
  <si>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</si>
  <si>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</si>
  <si>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</si>
  <si>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</si>
  <si>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</si>
  <si>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</si>
  <si>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</si>
  <si>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</si>
  <si>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</si>
  <si>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</si>
  <si>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</si>
  <si>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</si>
  <si>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</si>
  <si>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</si>
  <si>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</si>
  <si>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</si>
  <si>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</si>
  <si>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</si>
  <si>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</si>
  <si>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</si>
  <si>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</si>
  <si>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</si>
  <si>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</si>
  <si>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</si>
  <si>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</si>
  <si>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</si>
  <si>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</si>
  <si>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</si>
  <si>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</si>
  <si>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</si>
  <si>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</si>
  <si>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</si>
  <si>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</si>
  <si>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</si>
  <si>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</si>
  <si>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</si>
  <si>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</si>
  <si>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</si>
  <si>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</si>
  <si>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</si>
  <si>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</si>
  <si>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</si>
  <si>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</si>
  <si>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</si>
  <si>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</si>
  <si>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</si>
  <si>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</si>
  <si>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</si>
  <si>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</si>
  <si>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</si>
  <si>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</si>
  <si>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</si>
  <si>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</si>
  <si>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</si>
  <si>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</si>
  <si>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</si>
  <si>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</si>
  <si>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</si>
  <si>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</si>
  <si>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</si>
  <si>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</si>
  <si>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</si>
  <si>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</si>
  <si>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</si>
  <si>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</si>
  <si>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</si>
  <si>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</si>
  <si>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</si>
  <si>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</si>
  <si>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</si>
  <si>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</si>
  <si>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</si>
  <si>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</si>
  <si>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</si>
  <si>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</si>
  <si>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</si>
  <si>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</si>
  <si>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</si>
  <si>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</si>
  <si>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</si>
  <si>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</si>
  <si>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</si>
  <si>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</si>
  <si>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</si>
  <si>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</si>
  <si>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</si>
  <si>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</si>
  <si>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</si>
  <si>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</si>
  <si>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</si>
  <si>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</si>
  <si>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</si>
  <si>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</si>
  <si>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</si>
  <si>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</si>
  <si>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</si>
  <si>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</si>
  <si>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</si>
  <si>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</si>
  <si>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</si>
  <si>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</si>
  <si>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</si>
  <si>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</si>
  <si>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</si>
  <si>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</si>
  <si>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</si>
  <si>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</si>
  <si>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</si>
  <si>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</si>
  <si>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</si>
  <si>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</si>
  <si>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</si>
  <si>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</si>
  <si>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</si>
  <si>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</si>
  <si>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</si>
  <si>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</si>
  <si>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</si>
  <si>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</si>
  <si>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</si>
  <si>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</si>
  <si>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</si>
  <si>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</si>
  <si>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</si>
  <si>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</si>
  <si>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</si>
  <si>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</si>
  <si>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</si>
  <si>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</si>
  <si>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</si>
  <si>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</si>
  <si>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</si>
  <si>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</si>
  <si>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</si>
  <si>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</si>
  <si>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</si>
  <si>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</si>
  <si>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</si>
  <si>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</si>
  <si>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</si>
  <si>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</si>
  <si>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</si>
  <si>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</si>
  <si>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</si>
  <si>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</si>
  <si>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</si>
  <si>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</si>
  <si>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</si>
  <si>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</si>
  <si>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</si>
  <si>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</si>
  <si>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</si>
  <si>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</si>
  <si>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</si>
  <si>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</si>
  <si>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</si>
  <si>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</si>
  <si>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</si>
  <si>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</si>
  <si>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</si>
  <si>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</si>
  <si>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</si>
  <si>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</si>
  <si>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</si>
  <si>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</si>
  <si>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</si>
  <si>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</si>
  <si>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</si>
  <si>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</si>
  <si>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</si>
  <si>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</si>
  <si>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</si>
  <si>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</si>
  <si>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</si>
  <si>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</si>
  <si>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</si>
  <si>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</si>
  <si>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</si>
  <si>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</si>
  <si>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</si>
  <si>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</si>
  <si>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</si>
  <si>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</si>
  <si>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</si>
  <si>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</si>
  <si>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</si>
  <si>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</si>
  <si>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</si>
  <si>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</si>
  <si>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</si>
  <si>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</si>
  <si>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</si>
  <si>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</si>
  <si>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</si>
  <si>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</si>
  <si>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</si>
  <si>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</si>
  <si>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</si>
  <si>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</si>
  <si>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</si>
  <si>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</si>
  <si>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</si>
  <si>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</si>
  <si>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</si>
  <si>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</si>
  <si>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</si>
  <si>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</si>
  <si>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</si>
  <si>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</si>
  <si>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</si>
  <si>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</si>
  <si>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</si>
  <si>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</si>
  <si>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</si>
  <si>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</si>
  <si>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</si>
  <si>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</si>
  <si>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</si>
  <si>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</si>
  <si>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</si>
  <si>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</si>
  <si>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</si>
  <si>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</si>
  <si>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</si>
  <si>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</si>
  <si>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</si>
  <si>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</si>
  <si>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</si>
  <si>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</si>
  <si>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</si>
  <si>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</si>
  <si>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</si>
  <si>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</si>
  <si>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</si>
  <si>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</si>
  <si>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</si>
  <si>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</si>
  <si>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</si>
  <si>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</si>
  <si>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</si>
  <si>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</si>
  <si>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</si>
  <si>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</si>
  <si>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</si>
  <si>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</si>
  <si>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</si>
  <si>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</si>
  <si>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</si>
  <si>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</si>
  <si>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</si>
  <si>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</si>
  <si>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</si>
  <si>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</si>
  <si>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</si>
  <si>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</si>
  <si>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</si>
  <si>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</si>
  <si>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</si>
  <si>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</si>
  <si>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</si>
  <si>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</si>
  <si>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</si>
  <si>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</si>
  <si>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</si>
  <si>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</si>
  <si>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</si>
  <si>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</si>
  <si>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</si>
  <si>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</si>
  <si>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</si>
  <si>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</si>
  <si>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</si>
  <si>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</si>
  <si>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</si>
  <si>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</si>
  <si>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</si>
  <si>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</si>
  <si>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</si>
  <si>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</si>
  <si>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</si>
  <si>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</si>
  <si>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</si>
  <si>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</si>
  <si>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</si>
  <si>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</si>
  <si>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</si>
  <si>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</si>
  <si>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</si>
  <si>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</si>
  <si>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</si>
  <si>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</si>
  <si>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</si>
  <si>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</si>
  <si>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</si>
  <si>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</si>
  <si>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</si>
  <si>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</si>
  <si>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</si>
  <si>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</si>
  <si>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</si>
  <si>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</si>
  <si>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</si>
  <si>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</si>
  <si>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</si>
  <si>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</si>
  <si>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</si>
  <si>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</si>
  <si>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</si>
  <si>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</si>
  <si>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</si>
  <si>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</si>
  <si>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</si>
  <si>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</si>
  <si>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</si>
  <si>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</si>
  <si>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</si>
  <si>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</si>
  <si>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</si>
  <si>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</si>
  <si>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</si>
  <si>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</si>
  <si>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</si>
  <si>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</si>
  <si>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</si>
  <si>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</si>
  <si>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</si>
  <si>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</si>
  <si>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</si>
  <si>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</si>
  <si>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</si>
  <si>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</si>
  <si>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</si>
  <si>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</si>
  <si>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</si>
  <si>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</si>
  <si>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</si>
  <si>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</si>
  <si>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</si>
  <si>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</si>
  <si>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</si>
  <si>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</si>
  <si>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</si>
  <si>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</si>
  <si>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</si>
  <si>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</si>
  <si>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</si>
  <si>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</si>
  <si>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</si>
  <si>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</si>
  <si>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</si>
  <si>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</si>
  <si>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</si>
  <si>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</si>
  <si>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</si>
  <si>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</si>
  <si>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</si>
  <si>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</si>
  <si>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</si>
  <si>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</si>
  <si>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</si>
  <si>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</si>
  <si>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</si>
  <si>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</si>
  <si>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</si>
  <si>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</si>
  <si>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</si>
  <si>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</si>
  <si>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</si>
  <si>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</si>
  <si>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</si>
  <si>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</si>
  <si>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</si>
  <si>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</si>
  <si>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</si>
  <si>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</si>
  <si>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</si>
  <si>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</si>
  <si>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</si>
  <si>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</si>
  <si>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</si>
  <si>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</si>
  <si>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</si>
  <si>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</si>
  <si>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</si>
  <si>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</si>
  <si>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</si>
  <si>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</si>
  <si>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</si>
  <si>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</si>
  <si>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</si>
  <si>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</si>
  <si>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</si>
  <si>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</si>
  <si>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</si>
  <si>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</si>
  <si>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</si>
  <si>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</si>
  <si>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</si>
  <si>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</si>
  <si>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</si>
  <si>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</si>
  <si>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</si>
  <si>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</si>
  <si>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</si>
  <si>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</si>
  <si>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</si>
  <si>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</si>
  <si>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</si>
  <si>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</si>
  <si>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</si>
  <si>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</si>
  <si>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</si>
  <si>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</si>
  <si>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</si>
  <si>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</si>
  <si>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</si>
  <si>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</si>
  <si>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</si>
  <si>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</si>
  <si>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</si>
  <si>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</si>
  <si>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</si>
  <si>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</si>
  <si>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</si>
  <si>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</si>
  <si>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</si>
  <si>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</si>
  <si>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</si>
  <si>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</si>
  <si>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</si>
  <si>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</si>
  <si>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</si>
  <si>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</si>
  <si>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</si>
  <si>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</si>
  <si>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</si>
  <si>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</si>
  <si>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</si>
  <si>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</si>
  <si>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</si>
  <si>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</si>
  <si>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</si>
  <si>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</si>
  <si>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</si>
  <si>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</si>
  <si>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</si>
  <si>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</si>
  <si>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</si>
  <si>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</si>
  <si>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</si>
  <si>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</si>
  <si>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</si>
  <si>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</si>
  <si>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</si>
  <si>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</si>
  <si>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</si>
  <si>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</si>
  <si>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</si>
  <si>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</si>
  <si>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</si>
  <si>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</si>
  <si>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</si>
  <si>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</si>
  <si>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</si>
  <si>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</si>
  <si>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</si>
  <si>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</si>
  <si>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</si>
  <si>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</si>
  <si>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</si>
  <si>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</si>
  <si>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</si>
  <si>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</si>
  <si>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</si>
  <si>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</si>
  <si>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</si>
  <si>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</si>
  <si>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</si>
  <si>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</si>
  <si>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</si>
  <si>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</si>
  <si>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</si>
  <si>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</si>
  <si>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</si>
  <si>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</si>
  <si>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</si>
  <si>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</si>
  <si>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</si>
  <si>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</si>
  <si>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</si>
  <si>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</si>
  <si>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</si>
  <si>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</si>
  <si>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</si>
  <si>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</si>
  <si>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</si>
  <si>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</si>
  <si>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</si>
  <si>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</si>
  <si>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</si>
  <si>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</si>
  <si>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</si>
  <si>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</si>
  <si>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</si>
  <si>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</si>
  <si>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</si>
  <si>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</si>
  <si>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</si>
  <si>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</si>
  <si>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</si>
  <si>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</si>
  <si>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</si>
  <si>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</si>
  <si>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</si>
  <si>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</si>
  <si>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</si>
  <si>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</si>
  <si>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</si>
  <si>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</si>
  <si>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</si>
  <si>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</si>
  <si>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</si>
  <si>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</si>
  <si>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</si>
  <si>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</si>
  <si>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</si>
  <si>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</si>
  <si>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</si>
  <si>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</si>
  <si>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</si>
  <si>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</si>
  <si>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</si>
  <si>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</si>
  <si>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</si>
  <si>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</si>
  <si>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</si>
  <si>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</si>
  <si>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</si>
  <si>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</si>
  <si>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</si>
  <si>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</si>
  <si>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</si>
  <si>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</si>
  <si>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</si>
  <si>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</si>
  <si>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</si>
  <si>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</si>
  <si>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</si>
  <si>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</si>
  <si>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</si>
  <si>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</si>
  <si>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</si>
  <si>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</si>
  <si>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</si>
  <si>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</si>
  <si>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</si>
  <si>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</si>
  <si>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</si>
  <si>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</si>
  <si>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</si>
  <si>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</si>
  <si>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</si>
  <si>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</si>
  <si>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</si>
  <si>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</si>
  <si>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</si>
  <si>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</si>
  <si>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</si>
  <si>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</si>
  <si>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</si>
  <si>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</si>
  <si>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</si>
  <si>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</si>
  <si>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</si>
  <si>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</si>
  <si>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</si>
  <si>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</si>
  <si>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</si>
  <si>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</si>
  <si>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</si>
  <si>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</si>
  <si>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</si>
  <si>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</si>
  <si>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</si>
  <si>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</si>
  <si>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</si>
  <si>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</si>
  <si>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</si>
  <si>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</si>
  <si>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</si>
  <si>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</si>
  <si>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</si>
  <si>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</si>
  <si>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</si>
  <si>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</si>
  <si>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</si>
  <si>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</si>
  <si>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</si>
  <si>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</si>
  <si>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</si>
  <si>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</si>
  <si>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</si>
  <si>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</si>
  <si>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</si>
  <si>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</si>
  <si>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</si>
  <si>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</si>
  <si>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</si>
  <si>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</si>
  <si>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</si>
  <si>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</si>
  <si>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</si>
  <si>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</si>
  <si>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</si>
  <si>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</si>
  <si>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</si>
  <si>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</si>
  <si>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</si>
  <si>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</si>
  <si>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</si>
  <si>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</si>
  <si>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</si>
  <si>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</si>
  <si>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</si>
  <si>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</si>
  <si>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</si>
  <si>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</si>
  <si>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</si>
  <si>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</si>
  <si>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</si>
  <si>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</si>
  <si>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</si>
  <si>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</si>
  <si>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</si>
  <si>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</si>
  <si>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</si>
  <si>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</si>
  <si>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</si>
  <si>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</si>
  <si>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</si>
  <si>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</si>
  <si>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</si>
  <si>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</si>
  <si>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</si>
  <si>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</si>
  <si>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</si>
  <si>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</si>
  <si>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</si>
  <si>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</si>
  <si>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</si>
  <si>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</si>
  <si>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</si>
  <si>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</si>
  <si>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</si>
  <si>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</si>
  <si>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</si>
  <si>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</si>
  <si>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</si>
  <si>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</si>
  <si>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</si>
  <si>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</si>
  <si>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</si>
  <si>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</si>
  <si>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</si>
  <si>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</si>
  <si>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</si>
  <si>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</si>
  <si>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</si>
  <si>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</si>
  <si>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</si>
  <si>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</si>
  <si>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</si>
  <si>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</si>
  <si>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</si>
  <si>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</si>
  <si>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</si>
  <si>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</si>
  <si>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</si>
  <si>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</si>
  <si>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</si>
  <si>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</si>
  <si>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</si>
  <si>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</si>
  <si>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</si>
  <si>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</si>
  <si>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</si>
  <si>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</si>
  <si>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</si>
  <si>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</si>
  <si>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</si>
  <si>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</si>
  <si>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</si>
  <si>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</si>
  <si>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</si>
  <si>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</si>
  <si>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</si>
  <si>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</si>
  <si>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</si>
  <si>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</si>
  <si>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</si>
  <si>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</si>
  <si>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</si>
  <si>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</si>
  <si>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</si>
  <si>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</si>
  <si>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</si>
  <si>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</si>
  <si>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</si>
  <si>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</si>
  <si>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</si>
  <si>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</si>
  <si>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</si>
  <si>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</si>
  <si>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</si>
  <si>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</si>
  <si>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</si>
  <si>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</si>
  <si>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</si>
  <si>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</si>
  <si>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</si>
  <si>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</si>
  <si>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</si>
  <si>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</si>
  <si>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</si>
  <si>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</si>
  <si>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</si>
  <si>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</si>
  <si>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</si>
  <si>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</si>
  <si>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</si>
  <si>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</si>
  <si>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</si>
  <si>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</si>
  <si>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</si>
  <si>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</si>
  <si>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</si>
  <si>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</si>
  <si>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</si>
  <si>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</si>
  <si>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</si>
  <si>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</si>
  <si>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</si>
  <si>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</si>
  <si>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</si>
  <si>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</si>
  <si>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</si>
  <si>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</si>
  <si>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</si>
  <si>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</si>
  <si>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</si>
  <si>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</si>
  <si>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</si>
  <si>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</si>
  <si>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</si>
  <si>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</si>
  <si>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</si>
  <si>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</si>
  <si>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</si>
  <si>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</si>
  <si>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</si>
  <si>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</si>
  <si>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</si>
  <si>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</si>
  <si>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</si>
  <si>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</si>
  <si>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</si>
  <si>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</si>
  <si>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</si>
  <si>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</si>
  <si>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</si>
  <si>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</si>
  <si>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</si>
  <si>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</si>
  <si>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</si>
  <si>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</si>
  <si>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</si>
  <si>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</si>
  <si>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</si>
  <si>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</si>
  <si>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</si>
  <si>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</si>
  <si>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</si>
  <si>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</si>
  <si>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</si>
  <si>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</si>
  <si>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</si>
  <si>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</si>
  <si>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</si>
  <si>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</si>
  <si>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</si>
  <si>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</si>
  <si>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</si>
  <si>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</si>
  <si>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</si>
  <si>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</si>
  <si>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</si>
  <si>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</si>
  <si>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</si>
  <si>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</si>
  <si>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</si>
  <si>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</si>
  <si>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</si>
  <si>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</si>
  <si>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</si>
  <si>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</si>
  <si>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</si>
  <si>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</si>
  <si>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</si>
  <si>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</si>
  <si>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</si>
  <si>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</si>
  <si>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</si>
  <si>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</si>
  <si>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</si>
  <si>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</si>
  <si>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</si>
  <si>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</si>
  <si>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</si>
  <si>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</si>
  <si>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</si>
  <si>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</si>
  <si>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</si>
  <si>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</si>
  <si>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</si>
  <si>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</si>
  <si>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</si>
  <si>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</si>
  <si>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</si>
  <si>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</si>
  <si>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</si>
  <si>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</si>
  <si>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</si>
  <si>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</si>
  <si>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</si>
  <si>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</si>
  <si>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</si>
  <si>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</si>
  <si>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</si>
  <si>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</si>
  <si>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</si>
  <si>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</si>
  <si>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</si>
  <si>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</si>
  <si>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</si>
  <si>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</si>
  <si>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</si>
  <si>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</si>
  <si>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</si>
  <si>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</si>
  <si>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</si>
  <si>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</si>
  <si>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</si>
  <si>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</si>
  <si>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</si>
  <si>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</si>
  <si>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</si>
  <si>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</si>
  <si>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</si>
  <si>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</si>
  <si>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</si>
  <si>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</si>
  <si>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</si>
  <si>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</si>
  <si>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</si>
  <si>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</si>
  <si>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</si>
  <si>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</si>
  <si>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</si>
  <si>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</si>
  <si>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</si>
  <si>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</si>
  <si>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</si>
  <si>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</si>
  <si>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</si>
  <si>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</si>
  <si>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</si>
  <si>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</si>
  <si>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</si>
  <si>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</si>
  <si>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</si>
  <si>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</si>
  <si>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</si>
  <si>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</si>
  <si>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</si>
  <si>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</si>
  <si>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</si>
  <si>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</si>
  <si>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</si>
  <si>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</si>
  <si>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</si>
  <si>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</si>
  <si>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</si>
  <si>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</si>
  <si>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</si>
  <si>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</si>
  <si>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</si>
  <si>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</si>
  <si>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</si>
  <si>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</si>
  <si>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</si>
  <si>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</si>
  <si>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</si>
  <si>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</si>
  <si>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</si>
  <si>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</si>
  <si>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</si>
  <si>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</si>
  <si>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</si>
  <si>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</si>
  <si>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</si>
  <si>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</si>
  <si>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</si>
  <si>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</si>
  <si>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</si>
  <si>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</si>
  <si>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</si>
  <si>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</si>
  <si>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</si>
  <si>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</si>
  <si>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</si>
  <si>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</si>
  <si>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</si>
  <si>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</si>
  <si>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</si>
  <si>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</si>
  <si>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</si>
  <si>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</si>
  <si>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</si>
  <si>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</si>
  <si>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</si>
  <si>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</si>
  <si>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</si>
  <si>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</si>
  <si>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</si>
  <si>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</si>
  <si>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</si>
  <si>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</si>
  <si>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</si>
  <si>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</si>
  <si>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</si>
  <si>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</si>
  <si>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</si>
  <si>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</si>
  <si>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</si>
  <si>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</si>
  <si>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</si>
  <si>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</si>
  <si>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</si>
  <si>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</si>
  <si>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</si>
  <si>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</si>
  <si>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</si>
  <si>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</si>
  <si>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</si>
  <si>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</si>
  <si>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</si>
  <si>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</si>
  <si>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</si>
  <si>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</si>
  <si>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</si>
  <si>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</si>
  <si>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</si>
  <si>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</si>
  <si>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</si>
  <si>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</si>
  <si>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</si>
  <si>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</si>
  <si>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</si>
  <si>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</si>
  <si>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</si>
  <si>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</si>
  <si>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</si>
  <si>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</si>
  <si>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</si>
  <si>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</si>
  <si>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</si>
  <si>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</si>
  <si>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</si>
  <si>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</si>
  <si>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</si>
  <si>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</si>
  <si>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</si>
  <si>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</si>
  <si>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</si>
  <si>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</si>
  <si>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</si>
  <si>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</si>
  <si>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</si>
  <si>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</si>
  <si>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</si>
  <si>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</si>
  <si>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</si>
  <si>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</si>
  <si>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</si>
  <si>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</si>
  <si>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</si>
  <si>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</si>
  <si>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</si>
  <si>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</si>
  <si>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</si>
  <si>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</si>
  <si>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</si>
  <si>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</si>
  <si>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</si>
  <si>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</si>
  <si>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</si>
  <si>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</si>
  <si>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</si>
  <si>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</si>
  <si>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</si>
  <si>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</si>
  <si>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</si>
  <si>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</si>
  <si>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</si>
  <si>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</si>
  <si>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</si>
  <si>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</si>
  <si>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</si>
  <si>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</si>
  <si>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</si>
  <si>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</si>
  <si>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</si>
  <si>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</si>
  <si>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</si>
  <si>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</si>
  <si>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</si>
  <si>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</si>
  <si>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</si>
  <si>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</si>
  <si>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</si>
  <si>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</si>
  <si>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</si>
  <si>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</si>
  <si>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</si>
  <si>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</si>
  <si>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</si>
  <si>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</si>
  <si>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</si>
  <si>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</si>
  <si>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</si>
  <si>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</si>
  <si>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</si>
  <si>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</si>
  <si>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</si>
  <si>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</si>
  <si>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</si>
  <si>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Buderus</t>
  </si>
  <si>
    <t>Daikin</t>
  </si>
  <si>
    <t>ELCO</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</si>
  <si>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</si>
  <si>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</si>
  <si>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</si>
  <si>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</si>
  <si>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</si>
  <si>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</si>
  <si>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</si>
  <si>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</si>
  <si>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</si>
  <si>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</si>
  <si>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</si>
  <si>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</si>
  <si>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</si>
  <si>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</si>
  <si>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</si>
  <si>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</si>
  <si>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</si>
  <si>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</si>
  <si>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</si>
  <si>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</si>
  <si>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</si>
  <si>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</si>
  <si>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</si>
  <si>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</si>
  <si>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</si>
  <si>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</si>
  <si>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</si>
  <si>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</si>
  <si>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</si>
  <si>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</si>
  <si>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</si>
  <si>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</si>
  <si>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</si>
  <si>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</si>
  <si>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</si>
  <si>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</si>
  <si>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</si>
  <si>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</si>
  <si>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</si>
  <si>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</si>
  <si>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</si>
  <si>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</si>
  <si>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</si>
  <si>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</si>
  <si>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</si>
  <si>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</si>
  <si>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</si>
  <si>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</si>
  <si>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</si>
  <si>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</si>
  <si>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</si>
  <si>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</si>
  <si>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</si>
  <si>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</si>
  <si>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</si>
  <si>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</si>
  <si>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</si>
  <si>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</si>
  <si>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</si>
  <si>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</si>
  <si>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</si>
  <si>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</si>
  <si>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</si>
  <si>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</si>
  <si>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</si>
  <si>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</si>
  <si>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</si>
  <si>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</si>
  <si>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</si>
  <si>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</si>
  <si>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</si>
  <si>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</si>
  <si>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</si>
  <si>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</si>
  <si>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</si>
  <si>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</si>
  <si>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</si>
  <si>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</si>
  <si>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</si>
  <si>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</si>
  <si>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</si>
  <si>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</si>
  <si>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</si>
  <si>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</si>
  <si>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</si>
  <si>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</si>
  <si>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</si>
  <si>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</si>
  <si>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</si>
  <si>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</si>
  <si>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</si>
  <si>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</si>
  <si>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</si>
  <si>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</si>
  <si>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</si>
  <si>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</si>
  <si>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</si>
  <si>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</si>
  <si>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</si>
  <si>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</si>
  <si>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</si>
  <si>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</si>
  <si>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</si>
  <si>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</si>
  <si>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</si>
  <si>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</si>
  <si>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</si>
  <si>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</si>
  <si>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</si>
  <si>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</si>
  <si>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</si>
  <si>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</si>
  <si>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</si>
  <si>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</si>
  <si>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</si>
  <si>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</si>
  <si>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</si>
  <si>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</si>
  <si>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</si>
  <si>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</si>
  <si>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</si>
  <si>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</si>
  <si>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</si>
  <si>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</si>
  <si>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</si>
  <si>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</si>
  <si>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</si>
  <si>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</si>
  <si>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</si>
  <si>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</si>
  <si>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</si>
  <si>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</si>
  <si>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</si>
  <si>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</si>
  <si>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</si>
  <si>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</si>
  <si>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</si>
  <si>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</si>
  <si>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</si>
  <si>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</si>
  <si>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</si>
  <si>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</si>
  <si>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</si>
  <si>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</si>
  <si>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</si>
  <si>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</si>
  <si>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</si>
  <si>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</si>
  <si>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</si>
  <si>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</si>
  <si>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</si>
  <si>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</si>
  <si>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</si>
  <si>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</si>
  <si>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</si>
  <si>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</si>
  <si>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</si>
  <si>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</si>
  <si>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</si>
  <si>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</si>
  <si>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</si>
  <si>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</si>
  <si>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</si>
  <si>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</si>
  <si>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</si>
  <si>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</si>
  <si>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</si>
  <si>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</si>
  <si>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</si>
  <si>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</si>
  <si>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</si>
  <si>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</si>
  <si>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</si>
  <si>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</si>
  <si>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</si>
  <si>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</si>
  <si>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</si>
  <si>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</si>
  <si>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</si>
  <si>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</si>
  <si>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</si>
  <si>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</si>
  <si>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</si>
  <si>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</si>
  <si>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</si>
  <si>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</si>
  <si>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</si>
  <si>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</si>
  <si>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</si>
  <si>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</si>
  <si>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</si>
  <si>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</si>
  <si>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</si>
  <si>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</si>
  <si>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</si>
  <si>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</si>
  <si>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</si>
  <si>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</si>
  <si>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</si>
  <si>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</si>
  <si>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</si>
  <si>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</si>
  <si>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</si>
  <si>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</si>
  <si>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</si>
  <si>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</si>
  <si>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</si>
  <si>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</si>
  <si>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</si>
  <si>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</si>
  <si>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</si>
  <si>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</si>
  <si>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</si>
  <si>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</si>
  <si>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</si>
  <si>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</si>
  <si>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</si>
  <si>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</si>
  <si>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</si>
  <si>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</si>
  <si>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</si>
  <si>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</si>
  <si>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</si>
  <si>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</si>
  <si>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</si>
  <si>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</si>
  <si>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</si>
  <si>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</si>
  <si>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</si>
  <si>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</si>
  <si>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</si>
  <si>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</si>
  <si>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</si>
  <si>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</si>
  <si>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</si>
  <si>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</si>
  <si>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</si>
  <si>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</si>
  <si>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</si>
  <si>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</si>
  <si>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</si>
  <si>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</si>
  <si>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</si>
  <si>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</si>
  <si>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</si>
  <si>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</si>
  <si>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</si>
  <si>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</si>
  <si>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</si>
  <si>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</si>
  <si>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</si>
  <si>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</si>
  <si>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</si>
  <si>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</si>
  <si>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</si>
  <si>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</si>
  <si>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</si>
  <si>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</si>
  <si>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</si>
  <si>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</si>
  <si>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</si>
  <si>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</si>
  <si>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</si>
  <si>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</si>
  <si>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</si>
  <si>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</si>
  <si>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</si>
  <si>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</si>
  <si>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</si>
  <si>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</si>
  <si>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</si>
  <si>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</si>
  <si>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</si>
  <si>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</si>
  <si>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</si>
  <si>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</si>
  <si>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</si>
  <si>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</si>
  <si>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</si>
  <si>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</si>
  <si>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</si>
  <si>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</si>
  <si>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</si>
  <si>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</si>
  <si>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</si>
  <si>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</si>
  <si>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</si>
  <si>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</si>
  <si>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</si>
  <si>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</si>
  <si>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</si>
  <si>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</si>
  <si>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</si>
  <si>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</si>
  <si>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</si>
  <si>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</si>
  <si>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</si>
  <si>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</si>
  <si>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</si>
  <si>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</si>
  <si>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</si>
  <si>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</si>
  <si>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</si>
  <si>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</si>
  <si>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</si>
  <si>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</si>
  <si>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</si>
  <si>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</si>
  <si>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</si>
  <si>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</si>
  <si>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</si>
  <si>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</si>
  <si>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</si>
  <si>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</si>
  <si>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</si>
  <si>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</si>
  <si>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</si>
  <si>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</si>
  <si>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</si>
  <si>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</si>
  <si>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</si>
  <si>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</si>
  <si>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</si>
  <si>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</si>
  <si>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</si>
  <si>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</si>
  <si>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</si>
  <si>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</si>
  <si>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</si>
  <si>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</si>
  <si>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</si>
  <si>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</si>
  <si>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</si>
  <si>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</si>
  <si>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</si>
  <si>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</si>
  <si>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</si>
  <si>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</si>
  <si>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</si>
  <si>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</si>
  <si>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</si>
  <si>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</si>
  <si>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</si>
  <si>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</si>
  <si>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</si>
  <si>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</si>
  <si>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</si>
  <si>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</si>
  <si>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</si>
  <si>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</si>
  <si>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</si>
  <si>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</si>
  <si>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</si>
  <si>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</si>
  <si>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</si>
  <si>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</si>
  <si>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</si>
  <si>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</si>
  <si>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</si>
  <si>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</si>
  <si>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</si>
  <si>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</si>
  <si>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</si>
  <si>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</si>
  <si>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</si>
  <si>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</si>
  <si>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</si>
  <si>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</si>
  <si>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</si>
  <si>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</si>
  <si>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</si>
  <si>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</si>
  <si>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</si>
  <si>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</si>
  <si>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</si>
  <si>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</si>
  <si>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</si>
  <si>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</si>
  <si>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</si>
  <si>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</si>
  <si>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</si>
  <si>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</si>
  <si>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</si>
  <si>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</si>
  <si>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</si>
  <si>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</si>
  <si>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</si>
  <si>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</si>
  <si>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</si>
  <si>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</si>
  <si>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</si>
  <si>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</si>
  <si>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</si>
  <si>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</si>
  <si>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</si>
  <si>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</si>
  <si>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</si>
  <si>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</si>
  <si>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</si>
  <si>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</si>
  <si>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</si>
  <si>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</si>
  <si>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</si>
  <si>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</si>
  <si>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</si>
  <si>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</si>
  <si>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</si>
  <si>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</si>
  <si>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</si>
  <si>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</si>
  <si>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</si>
  <si>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</si>
  <si>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</si>
  <si>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</si>
  <si>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</si>
  <si>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</si>
  <si>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</si>
  <si>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</si>
  <si>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</si>
  <si>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</si>
  <si>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</si>
  <si>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</si>
  <si>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</si>
  <si>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</si>
  <si>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</si>
  <si>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</si>
  <si>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</si>
  <si>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</si>
  <si>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</si>
  <si>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</si>
  <si>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</si>
  <si>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</si>
  <si>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</si>
  <si>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</si>
  <si>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</si>
  <si>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</si>
  <si>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</si>
  <si>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</si>
  <si>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</si>
  <si>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</si>
  <si>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</si>
  <si>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</si>
  <si>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</si>
  <si>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</si>
  <si>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</si>
  <si>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</si>
  <si>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</si>
  <si>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</si>
  <si>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</si>
  <si>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</si>
  <si>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</si>
  <si>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</si>
  <si>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</si>
  <si>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</si>
  <si>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</si>
  <si>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</si>
  <si>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</si>
  <si>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</si>
  <si>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</si>
  <si>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</si>
  <si>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</si>
  <si>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</si>
  <si>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</si>
  <si>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</si>
  <si>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</si>
  <si>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</si>
  <si>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</si>
  <si>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</si>
  <si>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</si>
  <si>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</si>
  <si>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</si>
  <si>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</si>
  <si>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</si>
  <si>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</si>
  <si>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</si>
  <si>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</si>
  <si>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</si>
  <si>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</si>
  <si>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</si>
  <si>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</si>
  <si>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</si>
  <si>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</si>
  <si>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</si>
  <si>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</si>
  <si>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</si>
  <si>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</si>
  <si>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</si>
  <si>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</si>
  <si>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</si>
  <si>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</si>
  <si>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</si>
  <si>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</si>
  <si>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</si>
  <si>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</si>
  <si>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</si>
  <si>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</si>
  <si>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</si>
  <si>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</si>
  <si>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</si>
  <si>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</si>
  <si>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</si>
  <si>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</si>
  <si>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</si>
  <si>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</si>
  <si>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</si>
  <si>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</si>
  <si>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</si>
  <si>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</si>
  <si>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</si>
  <si>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</si>
  <si>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</si>
  <si>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</si>
  <si>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</si>
  <si>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</si>
  <si>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</si>
  <si>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</si>
  <si>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</si>
  <si>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</si>
  <si>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</si>
  <si>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</si>
  <si>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</si>
  <si>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</si>
  <si>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</si>
  <si>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</si>
  <si>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</si>
  <si>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</si>
  <si>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</si>
  <si>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</si>
  <si>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</si>
  <si>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</si>
  <si>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</si>
  <si>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</si>
  <si>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</si>
  <si>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</si>
  <si>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</si>
  <si>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</si>
  <si>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</si>
  <si>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</si>
  <si>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</si>
  <si>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</si>
  <si>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</si>
  <si>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</si>
  <si>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</si>
  <si>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</si>
  <si>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</si>
  <si>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</si>
  <si>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</si>
  <si>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</si>
  <si>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</si>
  <si>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</si>
  <si>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</si>
  <si>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</si>
  <si>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</si>
  <si>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</si>
  <si>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</si>
  <si>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</si>
  <si>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</si>
  <si>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</si>
  <si>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</si>
  <si>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</si>
  <si>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</si>
  <si>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</si>
  <si>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</si>
  <si>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</si>
  <si>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</si>
  <si>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</si>
  <si>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</si>
  <si>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</si>
  <si>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</si>
  <si>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</si>
  <si>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</si>
  <si>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</si>
  <si>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</si>
  <si>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</si>
  <si>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</si>
  <si>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</si>
  <si>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</si>
  <si>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</si>
  <si>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</si>
  <si>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</si>
  <si>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</si>
  <si>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</si>
  <si>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</si>
  <si>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</si>
  <si>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</si>
  <si>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</si>
  <si>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</si>
  <si>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</si>
  <si>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</si>
  <si>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</si>
  <si>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</si>
  <si>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</si>
  <si>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</si>
  <si>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</si>
  <si>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</si>
  <si>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</si>
  <si>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</si>
  <si>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</si>
  <si>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</si>
  <si>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</si>
  <si>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</si>
  <si>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</si>
  <si>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</si>
  <si>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</si>
  <si>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</si>
  <si>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</si>
  <si>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</si>
  <si>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</si>
  <si>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</si>
  <si>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</si>
  <si>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</si>
  <si>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</si>
  <si>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</si>
  <si>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</si>
  <si>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</si>
  <si>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</si>
  <si>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</si>
  <si>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</si>
  <si>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</si>
  <si>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</si>
  <si>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</si>
  <si>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</si>
  <si>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</si>
  <si>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</si>
  <si>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</si>
  <si>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</si>
  <si>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</si>
  <si>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</si>
  <si>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</si>
  <si>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</si>
  <si>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</si>
  <si>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</si>
  <si>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</si>
  <si>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</si>
  <si>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</si>
  <si>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</si>
  <si>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</si>
  <si>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</si>
  <si>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</si>
  <si>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</si>
  <si>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</si>
  <si>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</si>
  <si>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</si>
  <si>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</si>
  <si>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</si>
  <si>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</si>
  <si>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</si>
  <si>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</si>
  <si>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</si>
  <si>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</si>
  <si>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</si>
  <si>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</si>
  <si>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</si>
  <si>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</si>
  <si>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</si>
  <si>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</si>
  <si>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</si>
  <si>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</si>
  <si>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</si>
  <si>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</si>
  <si>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</si>
  <si>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</si>
  <si>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</si>
  <si>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</si>
  <si>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</si>
  <si>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</si>
  <si>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</si>
  <si>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</si>
  <si>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</si>
  <si>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</si>
  <si>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</si>
  <si>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</si>
  <si>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</si>
  <si>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</si>
  <si>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</si>
  <si>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</si>
  <si>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</si>
  <si>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</si>
  <si>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</si>
  <si>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</si>
  <si>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</si>
  <si>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</si>
  <si>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</si>
  <si>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</si>
  <si>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</si>
  <si>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</si>
  <si>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</si>
  <si>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</si>
  <si>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</si>
  <si>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</si>
  <si>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</si>
  <si>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</si>
  <si>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</si>
  <si>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</si>
  <si>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</si>
  <si>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</si>
  <si>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</si>
  <si>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</si>
  <si>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</si>
  <si>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</si>
  <si>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</si>
  <si>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</si>
  <si>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</si>
  <si>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</si>
  <si>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</si>
  <si>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</si>
  <si>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</si>
  <si>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</si>
  <si>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</si>
  <si>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</si>
  <si>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</si>
  <si>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</si>
  <si>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</si>
  <si>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</si>
  <si>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</si>
  <si>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</si>
  <si>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</si>
  <si>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</si>
  <si>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</si>
  <si>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</si>
  <si>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</si>
  <si>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</si>
  <si>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</si>
  <si>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</si>
  <si>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</si>
  <si>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</si>
  <si>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</si>
  <si>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</si>
  <si>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</si>
  <si>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</si>
  <si>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</si>
  <si>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</si>
  <si>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</si>
  <si>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</si>
  <si>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</si>
  <si>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</si>
  <si>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</si>
  <si>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</si>
  <si>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</si>
  <si>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</si>
  <si>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</si>
  <si>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</si>
  <si>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</si>
  <si>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</si>
  <si>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</si>
  <si>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</si>
  <si>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</si>
  <si>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</si>
  <si>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</si>
  <si>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</si>
  <si>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</si>
  <si>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</si>
  <si>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</si>
  <si>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</si>
  <si>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</si>
  <si>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</si>
  <si>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</si>
  <si>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</si>
  <si>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</si>
  <si>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</si>
  <si>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</si>
  <si>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</si>
  <si>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</si>
  <si>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</si>
  <si>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</si>
  <si>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</si>
  <si>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</si>
  <si>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</si>
  <si>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</si>
  <si>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</si>
  <si>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</si>
  <si>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</si>
  <si>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</si>
  <si>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</si>
  <si>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</si>
  <si>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</si>
  <si>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</si>
  <si>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</si>
  <si>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</si>
  <si>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</si>
  <si>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</si>
  <si>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</si>
  <si>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</si>
  <si>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</si>
  <si>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</si>
  <si>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</si>
  <si>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</si>
  <si>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</si>
  <si>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</si>
  <si>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</si>
  <si>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</si>
  <si>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</si>
  <si>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</si>
  <si>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</si>
  <si>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</si>
  <si>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</si>
  <si>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</si>
  <si>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</si>
  <si>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</si>
  <si>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</si>
  <si>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</si>
  <si>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</si>
  <si>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</si>
  <si>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</si>
  <si>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</si>
  <si>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</si>
  <si>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</si>
  <si>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</si>
  <si>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</si>
  <si>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</si>
  <si>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</si>
  <si>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</si>
  <si>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</si>
  <si>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</si>
  <si>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</si>
  <si>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</si>
  <si>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</si>
  <si>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</si>
  <si>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</si>
  <si>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</si>
  <si>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</si>
  <si>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</si>
  <si>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</si>
  <si>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</si>
  <si>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</si>
  <si>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</si>
  <si>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</si>
  <si>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</si>
  <si>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</si>
  <si>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</si>
  <si>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</si>
  <si>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</si>
  <si>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</si>
  <si>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</si>
  <si>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</si>
  <si>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</si>
  <si>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</si>
  <si>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</si>
  <si>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</si>
  <si>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</si>
  <si>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</si>
  <si>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</si>
  <si>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</si>
  <si>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</si>
  <si>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</si>
  <si>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</si>
  <si>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</si>
  <si>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</si>
  <si>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</si>
  <si>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</si>
  <si>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</si>
  <si>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</si>
  <si>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</si>
  <si>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</si>
  <si>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</si>
  <si>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</si>
  <si>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</si>
  <si>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</si>
  <si>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</si>
  <si>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</si>
  <si>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</si>
  <si>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</si>
  <si>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</si>
  <si>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</si>
  <si>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</si>
  <si>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</si>
  <si>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</si>
  <si>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</si>
  <si>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</si>
  <si>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</si>
  <si>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</si>
  <si>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</si>
  <si>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</si>
  <si>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</si>
  <si>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</si>
  <si>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</si>
  <si>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</si>
  <si>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</si>
  <si>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</si>
  <si>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</si>
  <si>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</si>
  <si>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</si>
  <si>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</si>
  <si>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</si>
  <si>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</si>
  <si>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</si>
  <si>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</si>
  <si>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</si>
  <si>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</si>
  <si>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</si>
  <si>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</si>
  <si>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</si>
  <si>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</si>
  <si>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</si>
  <si>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</si>
  <si>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</si>
  <si>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</si>
  <si>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</si>
  <si>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</si>
  <si>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</si>
  <si>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</si>
  <si>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</si>
  <si>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</si>
  <si>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</si>
  <si>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</si>
  <si>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</si>
  <si>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</si>
  <si>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</si>
  <si>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</si>
  <si>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</si>
  <si>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</si>
  <si>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</si>
  <si>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</si>
  <si>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</si>
  <si>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</si>
  <si>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</si>
  <si>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</si>
  <si>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</si>
  <si>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</si>
  <si>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</si>
  <si>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</si>
  <si>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</si>
  <si>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</si>
  <si>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</si>
  <si>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</si>
  <si>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</si>
  <si>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</si>
  <si>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</si>
  <si>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</si>
  <si>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</si>
  <si>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</si>
  <si>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</si>
  <si>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</si>
  <si>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</si>
  <si>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</si>
  <si>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</si>
  <si>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</si>
  <si>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</si>
  <si>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</si>
  <si>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</si>
  <si>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</si>
  <si>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</si>
  <si>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</si>
  <si>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</si>
  <si>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</si>
  <si>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</si>
  <si>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</si>
  <si>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</si>
  <si>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</si>
  <si>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</si>
  <si>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</si>
  <si>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</si>
  <si>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</si>
  <si>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</si>
  <si>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</si>
  <si>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</si>
  <si>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</si>
  <si>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</si>
  <si>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</si>
  <si>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</si>
  <si>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</si>
  <si>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</si>
  <si>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</si>
  <si>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</si>
  <si>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</si>
  <si>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</si>
  <si>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</si>
  <si>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</si>
  <si>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</si>
  <si>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</si>
  <si>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</si>
  <si>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</si>
  <si>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</si>
  <si>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</si>
  <si>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</si>
  <si>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</si>
  <si>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</si>
  <si>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</si>
  <si>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</si>
  <si>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</si>
  <si>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</si>
  <si>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</si>
  <si>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</si>
  <si>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</si>
  <si>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</si>
  <si>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</si>
  <si>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</si>
  <si>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</si>
  <si>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</si>
  <si>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</si>
  <si>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</si>
  <si>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04,95 kW WPL 17 IKCS classic</t>
  </si>
  <si>
    <t>05,02 kW WPL 17 ICS classic</t>
  </si>
  <si>
    <t>05,73 kW WPL 17 ACS classic</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</si>
  <si>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</si>
  <si>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</si>
  <si>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</si>
  <si>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</si>
  <si>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</si>
  <si>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</si>
  <si>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</si>
  <si>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</si>
  <si>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</si>
  <si>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</si>
  <si>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</si>
  <si>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LIK 8TES</t>
  </si>
  <si>
    <t>Dimplex LI 12TU</t>
  </si>
  <si>
    <t>Dimplex SI 6TU</t>
  </si>
  <si>
    <t>Dimplex SIK 8TES</t>
  </si>
  <si>
    <t>Dimplex SI 8TU</t>
  </si>
  <si>
    <t>Dimplex SIK 11TES</t>
  </si>
  <si>
    <t>Dimplex SI 11TU</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</si>
  <si>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</si>
  <si>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</si>
  <si>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</si>
  <si>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</si>
  <si>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</si>
  <si>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</si>
  <si>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</si>
  <si>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</si>
  <si>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</si>
  <si>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</si>
  <si>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</si>
  <si>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</si>
  <si>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</si>
  <si>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</si>
  <si>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</si>
  <si>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</si>
  <si>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</si>
  <si>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</si>
  <si>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</si>
  <si>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</si>
  <si>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</si>
  <si>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</si>
  <si>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</si>
  <si>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</si>
  <si>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</si>
  <si>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</si>
  <si>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</si>
  <si>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</si>
  <si>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</si>
  <si>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</si>
  <si>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</si>
  <si>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</si>
  <si>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</si>
  <si>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</si>
  <si>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</si>
  <si>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</si>
  <si>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</si>
  <si>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</si>
  <si>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</si>
  <si>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</si>
  <si>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</si>
  <si>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</si>
  <si>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</si>
  <si>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</si>
  <si>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</si>
  <si>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</si>
  <si>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</si>
  <si>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</si>
  <si>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</si>
  <si>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</si>
  <si>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</si>
  <si>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</si>
  <si>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</si>
  <si>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</si>
  <si>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</si>
  <si>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</si>
  <si>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</si>
  <si>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</si>
  <si>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</si>
  <si>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</si>
  <si>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</si>
  <si>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</si>
  <si>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</si>
  <si>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 18 AD</t>
  </si>
  <si>
    <t>WWP L 12 ID</t>
  </si>
  <si>
    <t>WWP L 40 A-2</t>
  </si>
  <si>
    <t>WWP S 18 ID</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</si>
  <si>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</si>
  <si>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</si>
  <si>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</si>
  <si>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</si>
  <si>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</si>
  <si>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</si>
  <si>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</si>
  <si>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</si>
  <si>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</si>
  <si>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</si>
  <si>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</si>
  <si>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</si>
  <si>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</si>
  <si>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</si>
  <si>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</si>
  <si>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</si>
  <si>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</si>
  <si>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</si>
  <si>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</si>
  <si>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</si>
  <si>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</si>
  <si>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</si>
  <si>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</si>
  <si>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</si>
  <si>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</si>
  <si>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</si>
  <si>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</si>
  <si>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</si>
  <si>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</si>
  <si>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</si>
  <si>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</si>
  <si>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</si>
  <si>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</si>
  <si>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</si>
  <si>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</si>
  <si>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</si>
  <si>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</si>
  <si>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</si>
  <si>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</si>
  <si>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</si>
  <si>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</si>
  <si>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</si>
  <si>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</si>
  <si>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</si>
  <si>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</si>
  <si>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</si>
  <si>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</si>
  <si>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</si>
  <si>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</si>
  <si>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</si>
  <si>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</si>
  <si>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</si>
  <si>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</si>
  <si>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</si>
  <si>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</si>
  <si>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</si>
  <si>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</si>
  <si>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</si>
  <si>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</si>
  <si>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</si>
  <si>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</si>
  <si>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</si>
  <si>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</si>
  <si>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</si>
  <si>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</si>
  <si>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</si>
  <si>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</si>
  <si>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</si>
  <si>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</si>
  <si>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</si>
  <si>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</si>
  <si>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</si>
  <si>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</si>
  <si>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</si>
  <si>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</si>
  <si>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</si>
  <si>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</si>
  <si>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</si>
  <si>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</si>
  <si>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</si>
  <si>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</si>
  <si>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</si>
  <si>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</si>
  <si>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</si>
  <si>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</si>
  <si>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</si>
  <si>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</si>
  <si>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1-10</t>
  </si>
  <si>
    <t>SWHi 1-13</t>
  </si>
  <si>
    <t>SWHi 1-18</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</si>
  <si>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</si>
  <si>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</si>
  <si>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</si>
  <si>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</si>
  <si>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</si>
  <si>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</si>
  <si>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</si>
  <si>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</si>
  <si>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</si>
  <si>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</si>
  <si>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</si>
  <si>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</si>
  <si>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</si>
  <si>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</si>
  <si>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</si>
  <si>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</si>
  <si>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</si>
  <si>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</si>
  <si>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</si>
  <si>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</si>
  <si>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</si>
  <si>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</si>
  <si>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</si>
  <si>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35TBS</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</si>
  <si>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</si>
  <si>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</si>
  <si>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</si>
  <si>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</si>
  <si>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</si>
  <si>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</si>
  <si>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</si>
  <si>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</si>
  <si>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</si>
  <si>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</si>
  <si>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</si>
  <si>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</si>
  <si>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</si>
  <si>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</si>
  <si>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</si>
  <si>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</si>
  <si>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</si>
  <si>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</si>
  <si>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</si>
  <si>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</si>
  <si>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</si>
  <si>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</si>
  <si>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</si>
  <si>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</si>
  <si>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</si>
  <si>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</si>
  <si>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</si>
  <si>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</si>
  <si>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</si>
  <si>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</si>
  <si>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</si>
  <si>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</si>
  <si>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</si>
  <si>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</si>
  <si>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</si>
  <si>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</si>
  <si>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</si>
  <si>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</si>
  <si>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</si>
  <si>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</si>
  <si>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</si>
  <si>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</si>
  <si>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</si>
  <si>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</si>
  <si>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</si>
  <si>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</si>
  <si>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</si>
  <si>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</si>
  <si>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</si>
  <si>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</si>
  <si>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</si>
  <si>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</si>
  <si>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</si>
  <si>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</si>
  <si>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</si>
  <si>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</si>
  <si>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</si>
  <si>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</si>
  <si>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</si>
  <si>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</si>
  <si>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</si>
  <si>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</si>
  <si>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</si>
  <si>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</si>
  <si>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</si>
  <si>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</si>
  <si>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</si>
  <si>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</si>
  <si>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</si>
  <si>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</si>
  <si>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</si>
  <si>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</si>
  <si>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</si>
  <si>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</si>
  <si>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</si>
  <si>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</si>
  <si>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</si>
  <si>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</si>
  <si>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</si>
  <si>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</si>
  <si>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</si>
  <si>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</si>
  <si>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</si>
  <si>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</si>
  <si>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</si>
  <si>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</si>
  <si>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</si>
  <si>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</si>
  <si>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</si>
  <si>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</si>
  <si>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</si>
  <si>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</si>
  <si>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</si>
  <si>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</si>
  <si>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</si>
  <si>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</si>
  <si>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</si>
  <si>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</si>
  <si>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</si>
  <si>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</si>
  <si>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</si>
  <si>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</si>
  <si>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</si>
  <si>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</si>
  <si>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</si>
  <si>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</si>
  <si>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</si>
  <si>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</si>
  <si>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</si>
  <si>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</si>
  <si>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</si>
  <si>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</si>
  <si>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</si>
  <si>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</si>
  <si>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</si>
  <si>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</si>
  <si>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</si>
  <si>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</si>
  <si>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</si>
  <si>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</si>
  <si>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</si>
  <si>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</si>
  <si>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</si>
  <si>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</si>
  <si>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</si>
  <si>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</si>
  <si>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</si>
  <si>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</si>
  <si>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</si>
  <si>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</si>
  <si>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</si>
  <si>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</si>
  <si>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Dimplex SI 85TUR</t>
  </si>
  <si>
    <t>Dimplex SI 130TUR+</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</si>
  <si>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</si>
  <si>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</si>
  <si>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</si>
  <si>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</si>
  <si>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</si>
  <si>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</si>
  <si>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</si>
  <si>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</si>
  <si>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</si>
  <si>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</si>
  <si>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</si>
  <si>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</si>
  <si>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</si>
  <si>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</si>
  <si>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</si>
  <si>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</si>
  <si>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</si>
  <si>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</si>
  <si>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</si>
  <si>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</si>
  <si>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</si>
  <si>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</si>
  <si>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</si>
  <si>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</si>
  <si>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</si>
  <si>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</si>
  <si>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</si>
  <si>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</si>
  <si>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</si>
  <si>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</si>
  <si>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</si>
  <si>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</si>
  <si>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</si>
  <si>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</si>
  <si>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</si>
  <si>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</si>
  <si>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</si>
  <si>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</si>
  <si>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</si>
  <si>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</si>
  <si>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</si>
  <si>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</si>
  <si>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</si>
  <si>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</si>
  <si>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</si>
  <si>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</si>
  <si>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</si>
  <si>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</si>
  <si>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</si>
  <si>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</si>
  <si>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</si>
  <si>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</si>
  <si>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</si>
  <si>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</si>
  <si>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</si>
  <si>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</si>
  <si>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</si>
  <si>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</si>
  <si>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</si>
  <si>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</si>
  <si>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</si>
  <si>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</si>
  <si>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</si>
  <si>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</si>
  <si>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</si>
  <si>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</si>
  <si>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</si>
  <si>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</si>
  <si>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</si>
  <si>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</si>
  <si>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</si>
  <si>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</si>
  <si>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</si>
  <si>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</si>
  <si>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</si>
  <si>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</si>
  <si>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</si>
  <si>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</si>
  <si>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</si>
  <si>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</si>
  <si>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</si>
  <si>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</si>
  <si>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</si>
  <si>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</si>
  <si>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</si>
  <si>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</si>
  <si>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</si>
  <si>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</si>
  <si>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</si>
  <si>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</si>
  <si>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</si>
  <si>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</si>
  <si>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</si>
  <si>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</si>
  <si>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</si>
  <si>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</si>
  <si>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</si>
  <si>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</si>
  <si>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</si>
  <si>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</si>
  <si>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</si>
  <si>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</si>
  <si>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</si>
  <si>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</si>
  <si>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</si>
  <si>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</si>
  <si>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</si>
  <si>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</si>
  <si>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</si>
  <si>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</si>
  <si>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</si>
  <si>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</si>
  <si>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</si>
  <si>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</si>
  <si>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</si>
  <si>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</si>
  <si>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</si>
  <si>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</si>
  <si>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</si>
  <si>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</si>
  <si>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</si>
  <si>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</si>
  <si>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</si>
  <si>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</si>
  <si>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</si>
  <si>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</si>
  <si>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</si>
  <si>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</si>
  <si>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</si>
  <si>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</si>
  <si>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</si>
  <si>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</si>
  <si>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</si>
  <si>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</si>
  <si>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</si>
  <si>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</si>
  <si>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</si>
  <si>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</si>
  <si>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</si>
  <si>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</si>
  <si>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</si>
  <si>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</si>
  <si>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</si>
  <si>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</si>
  <si>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</si>
  <si>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</si>
  <si>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</si>
  <si>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</si>
  <si>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</si>
  <si>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</si>
  <si>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</si>
  <si>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</si>
  <si>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</si>
  <si>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</si>
  <si>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</si>
  <si>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</si>
  <si>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</si>
  <si>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</si>
  <si>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</si>
  <si>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</si>
  <si>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</si>
  <si>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</si>
  <si>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</si>
  <si>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</si>
  <si>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</si>
  <si>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</si>
  <si>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</si>
  <si>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</si>
  <si>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</si>
  <si>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</si>
  <si>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</si>
  <si>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</si>
  <si>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</si>
  <si>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</si>
  <si>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</si>
  <si>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</si>
  <si>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</si>
  <si>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</si>
  <si>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</si>
  <si>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</si>
  <si>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</si>
  <si>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</si>
  <si>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</si>
  <si>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</si>
  <si>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</si>
  <si>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</si>
  <si>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</si>
  <si>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</si>
  <si>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</si>
  <si>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</si>
  <si>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</si>
  <si>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</si>
  <si>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</si>
  <si>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</si>
  <si>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</si>
  <si>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</si>
  <si>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</si>
  <si>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</si>
  <si>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</si>
  <si>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</si>
  <si>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</si>
  <si>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</si>
  <si>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</si>
  <si>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</si>
  <si>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</si>
  <si>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</si>
  <si>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</si>
  <si>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</si>
  <si>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</si>
  <si>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</si>
  <si>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</si>
  <si>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</si>
  <si>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</si>
  <si>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</si>
  <si>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</si>
  <si>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</si>
  <si>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</si>
  <si>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</si>
  <si>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</si>
  <si>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</si>
  <si>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</si>
  <si>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</si>
  <si>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</si>
  <si>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</si>
  <si>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</si>
  <si>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</si>
  <si>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</si>
  <si>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</si>
  <si>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</si>
  <si>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</si>
  <si>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</si>
  <si>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</si>
  <si>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</si>
  <si>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</si>
  <si>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</si>
  <si>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</si>
  <si>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</si>
  <si>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</si>
  <si>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</si>
  <si>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</si>
  <si>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</si>
  <si>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</si>
  <si>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</si>
  <si>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</si>
  <si>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</si>
  <si>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</si>
  <si>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</si>
  <si>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</si>
  <si>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</si>
  <si>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</si>
  <si>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</si>
  <si>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</si>
  <si>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</si>
  <si>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</si>
  <si>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</si>
  <si>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</si>
  <si>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</si>
  <si>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</si>
  <si>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</si>
  <si>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</si>
  <si>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</si>
  <si>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</si>
  <si>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</si>
  <si>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</si>
  <si>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</si>
  <si>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</si>
  <si>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</si>
  <si>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</si>
  <si>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</si>
  <si>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</si>
  <si>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</si>
  <si>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</si>
  <si>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</si>
  <si>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</si>
  <si>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</si>
  <si>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</si>
  <si>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</si>
  <si>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</si>
  <si>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</si>
  <si>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</si>
  <si>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</si>
  <si>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</si>
  <si>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</si>
  <si>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</si>
  <si>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</si>
  <si>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</si>
  <si>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</si>
  <si>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</si>
  <si>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</si>
  <si>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</si>
  <si>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</si>
  <si>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</si>
  <si>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</si>
  <si>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</si>
  <si>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</si>
  <si>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</si>
  <si>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</si>
  <si>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</si>
  <si>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</si>
  <si>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</si>
  <si>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</si>
  <si>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</si>
  <si>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</si>
  <si>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</si>
  <si>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</si>
  <si>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</si>
  <si>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</si>
  <si>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</si>
  <si>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</si>
  <si>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</si>
  <si>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</si>
  <si>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</si>
  <si>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</si>
  <si>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</si>
  <si>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</si>
  <si>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</si>
  <si>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</si>
  <si>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</si>
  <si>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</si>
  <si>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</si>
  <si>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</si>
  <si>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</si>
  <si>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</si>
  <si>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</si>
  <si>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</si>
  <si>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</si>
  <si>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</si>
  <si>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</si>
  <si>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</si>
  <si>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</si>
  <si>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</si>
  <si>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</si>
  <si>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</si>
  <si>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</si>
  <si>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</si>
  <si>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</si>
  <si>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</si>
  <si>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</si>
  <si>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</si>
  <si>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</si>
  <si>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</si>
  <si>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</si>
  <si>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</si>
  <si>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</si>
  <si>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</si>
  <si>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</si>
  <si>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</si>
  <si>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</si>
  <si>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</si>
  <si>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</si>
  <si>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</si>
  <si>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</si>
  <si>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</si>
  <si>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</si>
  <si>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</si>
  <si>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</si>
  <si>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</si>
  <si>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</si>
  <si>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</si>
  <si>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</si>
  <si>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</si>
  <si>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</si>
  <si>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</si>
  <si>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</si>
  <si>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</si>
  <si>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</si>
  <si>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</si>
  <si>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</si>
  <si>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</si>
  <si>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</si>
  <si>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</si>
  <si>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</si>
  <si>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</si>
  <si>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</si>
  <si>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</si>
  <si>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LA18S-TU</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</si>
  <si>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</si>
  <si>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</si>
  <si>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</si>
  <si>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</si>
  <si>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</si>
  <si>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</si>
  <si>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</si>
  <si>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</si>
  <si>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</si>
  <si>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</si>
  <si>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</si>
  <si>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</si>
  <si>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</si>
  <si>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</si>
  <si>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</si>
  <si>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</si>
  <si>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</si>
  <si>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</si>
  <si>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</si>
  <si>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</si>
  <si>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</si>
  <si>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</si>
  <si>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</si>
  <si>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</si>
  <si>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</si>
  <si>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</si>
  <si>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</si>
  <si>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Daikin ERLA11* + EB(B/V)11</t>
  </si>
  <si>
    <t>Daikin ERLA14* + EB(B/V)16</t>
  </si>
  <si>
    <t>Daikin ERLA16* + EB(B/V)16</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</si>
  <si>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</si>
  <si>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</si>
  <si>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</si>
  <si>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</si>
  <si>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</si>
  <si>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</si>
  <si>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</si>
  <si>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</si>
  <si>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</si>
  <si>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</si>
  <si>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</si>
  <si>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</si>
  <si>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</si>
  <si>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</si>
  <si>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</si>
  <si>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</si>
  <si>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</si>
  <si>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</si>
  <si>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</si>
  <si>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</si>
  <si>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</si>
  <si>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</si>
  <si>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</si>
  <si>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</si>
  <si>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</si>
  <si>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</si>
  <si>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</si>
  <si>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</si>
  <si>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</si>
  <si>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</si>
  <si>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</si>
  <si>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</si>
  <si>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</si>
  <si>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</si>
  <si>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</si>
  <si>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</si>
  <si>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</si>
  <si>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</si>
  <si>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</si>
  <si>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</si>
  <si>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</si>
  <si>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</si>
  <si>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</si>
  <si>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</si>
  <si>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</si>
  <si>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Daikin Altherma 3 H HT (14)</t>
  </si>
  <si>
    <t>Daikin Altherma 3 H HT (18)</t>
  </si>
  <si>
    <t>HSB</t>
  </si>
  <si>
    <t>LI 12 TU</t>
  </si>
  <si>
    <t>LIA 1316HXCF</t>
  </si>
  <si>
    <t>M Flex 0916HBC</t>
  </si>
  <si>
    <t>LA 9STUR</t>
  </si>
  <si>
    <t>SI 8 TU</t>
  </si>
  <si>
    <t>SI 90 TU</t>
  </si>
  <si>
    <t>SIH 90 TU</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</si>
  <si>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</si>
  <si>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</si>
  <si>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</si>
  <si>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</si>
  <si>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</si>
  <si>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</si>
  <si>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</si>
  <si>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</si>
  <si>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</si>
  <si>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</si>
  <si>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</si>
  <si>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</si>
  <si>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</si>
  <si>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</si>
  <si>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</si>
  <si>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</si>
  <si>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</si>
  <si>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</si>
  <si>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</si>
  <si>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</si>
  <si>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</si>
  <si>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</si>
  <si>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</si>
  <si>
    <t>8.3.32</t>
  </si>
  <si>
    <t>9,29</t>
  </si>
  <si>
    <t>250-A PRO AWO-AC-AF 251.A40</t>
  </si>
  <si>
    <t>AEROTOP SPK7</t>
  </si>
  <si>
    <t>AEROTOP SPK10</t>
  </si>
  <si>
    <t>Atlantic Suisse AG</t>
  </si>
  <si>
    <t>Alféa Excellia 11 TRI</t>
  </si>
  <si>
    <t>Alféa Excellia DUO 11 TRI</t>
  </si>
  <si>
    <t>Alféa Excellia 14 TRI</t>
  </si>
  <si>
    <t>Alféa Excellia DUO 14 TRI</t>
  </si>
  <si>
    <t>Alféa Excellia 16 TRI</t>
  </si>
  <si>
    <t>Alféa Excellia DUO 16 TRI</t>
  </si>
  <si>
    <t>Alféa Excellia A.I. 11 TRI</t>
  </si>
  <si>
    <t>Alféa Excellia A.I. DUO 11 TRI</t>
  </si>
  <si>
    <t>Alféa Excellia A.I. 14 TRI</t>
  </si>
  <si>
    <t>Alféa Excellia A.I. DUO 14 TRI</t>
  </si>
  <si>
    <t>Alféa Excellia A.I. 16 TRI</t>
  </si>
  <si>
    <t>Alféa Excellia A.I. DUO 16 TRI</t>
  </si>
  <si>
    <t>Alféa Extensa A.I. 5 R32</t>
  </si>
  <si>
    <t>Aféa Extensa A.I. DUO 5 R32</t>
  </si>
  <si>
    <t>Alféa Extensa A.I. 6 R32</t>
  </si>
  <si>
    <t>Aféa Extensa A.I. DUO 6 R32</t>
  </si>
  <si>
    <t>Alféa Extensa A.I. 8 R32</t>
  </si>
  <si>
    <t>Aféa Extensa A.I. DUO 8 R32</t>
  </si>
  <si>
    <t>Alféa Excellia HP A.I. 15</t>
  </si>
  <si>
    <t>Alféa Excellia HP DUO A.I. 15</t>
  </si>
  <si>
    <t>Alféa Excellia HP A.I. 17</t>
  </si>
  <si>
    <t>Alféa Excellia HP DUO A.I. 17</t>
  </si>
  <si>
    <t>IXTRA M 12 Tri</t>
  </si>
  <si>
    <t>IXTRA M 15 Tri</t>
  </si>
  <si>
    <t>IXTRA M 17 Tri</t>
  </si>
  <si>
    <t xml:space="preserve">Austria Email </t>
  </si>
  <si>
    <t>LWPM 8</t>
  </si>
  <si>
    <t>LWPM 11</t>
  </si>
  <si>
    <t>LWPM 14</t>
  </si>
  <si>
    <t>LWPM 16</t>
  </si>
  <si>
    <t>SWe 2-25</t>
  </si>
  <si>
    <t>SWe 2-35</t>
  </si>
  <si>
    <t>Iseli Energie AG</t>
  </si>
  <si>
    <t>GeniaAir Max 5</t>
  </si>
  <si>
    <t>GeniaAir Max 8</t>
  </si>
  <si>
    <t>GeniaAir Max 12 TRI</t>
  </si>
  <si>
    <t>GeniaAir Max 15 TRI</t>
  </si>
  <si>
    <t>02.59 kW WPL 09 ACS classic</t>
  </si>
  <si>
    <t>03,19 kW WPL-A 05 HK 230 Premium</t>
  </si>
  <si>
    <t>04,30 kW WPL-A 07 HK 230 Premium</t>
  </si>
  <si>
    <t>04,30 kW WPL 13 ACS classic</t>
  </si>
  <si>
    <t>05,16 kW LWZ 8 CSE Premium</t>
  </si>
  <si>
    <t>07,82 kW WPL-A 10 HK</t>
  </si>
  <si>
    <t>07,82 kW WPL-A 13 HK</t>
  </si>
  <si>
    <t>07,82 kW WPL-A 13 HK dB</t>
  </si>
  <si>
    <t>08,09 kW WPL 13 E</t>
  </si>
  <si>
    <t>08,10 kW WPL 13 Cool</t>
  </si>
  <si>
    <t>08,33 kW WPL 20 A</t>
  </si>
  <si>
    <t>08,33 kW WPL 25 A</t>
  </si>
  <si>
    <t>09,04 kW WPL 24 I / IK / A</t>
  </si>
  <si>
    <t>11,30 kW WPL 18 cool</t>
  </si>
  <si>
    <t>14,14 kW WPL 23 cool</t>
  </si>
  <si>
    <t>22.42 kW WPE-I 33 H 400 Premium (Stufe 7)</t>
  </si>
  <si>
    <t>26.86 kW WPE-I 33 H 400 Premium (Stufe 8)</t>
  </si>
  <si>
    <t>29.60 kW WPE-I 33 H 400 Premium (Stufe 9)</t>
  </si>
  <si>
    <t>33.30 kW WPE-I 33 H 400 Premium (Stufe 10)</t>
  </si>
  <si>
    <t>36.90 kW WPE-I 44 H 400 Premium (Stufe 8)</t>
  </si>
  <si>
    <t>40.60 kW WPE-I 44 H 400 Premium (Stufe 9)</t>
  </si>
  <si>
    <t>43.80 kW WPE-I 44 H 400 Premium (Stufe 10)</t>
  </si>
  <si>
    <t>48.80 kW WPE-I 59 H 400 Premium (Stufe 8)</t>
  </si>
  <si>
    <t>53.70 kW WPE-I 59 H 400 Premium (Stufe 9)</t>
  </si>
  <si>
    <t>58.60 kW WPE-I 59 H 400 Premium (Stufe 10)</t>
  </si>
  <si>
    <t>65.90 kW WPE-I 87 H 400 Premium (Stufe 7)</t>
  </si>
  <si>
    <t>73.30 kW WPE-I 87 H 400 Premium (Stufe 8)</t>
  </si>
  <si>
    <t>80.60 kW WPE-I 87 H 400 Premium (Stufe 9)</t>
  </si>
  <si>
    <t>87.80 kW WPE-I 87 H 400 Premium (Stufe 10)</t>
  </si>
  <si>
    <t xml:space="preserve">4,20 kW WPE-I 04 H(K) 230 Premium </t>
  </si>
  <si>
    <t>4,20 kW WPE-I 04 H(K)W 230 Premium</t>
  </si>
  <si>
    <t>5,40 kW WPE-I 05 H 400 Plus</t>
  </si>
  <si>
    <t>6,60 kW WPE-I 06 H(K) 230 Premium</t>
  </si>
  <si>
    <t>6,60 kW WPE-I 06 H(K)W 230 Premium</t>
  </si>
  <si>
    <t>7,30 kW WPE-I 07 H 400 Plus</t>
  </si>
  <si>
    <t>7,60 kW WPE-I 08 H(K) 230 Premium</t>
  </si>
  <si>
    <t>7,60 kW WPE-I 08 H(K)W 230 Premium</t>
  </si>
  <si>
    <t>10,00 kW WPE-I 10 H 400 Plus</t>
  </si>
  <si>
    <t xml:space="preserve">12,05 kW WPE-I 12 H(K) 230 Premium </t>
  </si>
  <si>
    <t>12,05 kW WPE-I 12 H(K)W 230 Premium</t>
  </si>
  <si>
    <t>12,50 kW WPE-I 13 H 400 Plus</t>
  </si>
  <si>
    <t>13,50 kW WPE-I 15 H(K) 230 Premium</t>
  </si>
  <si>
    <t>13,50 kW WPE-I 15 H(K)W 230 Premium</t>
  </si>
  <si>
    <t>16,80 kW WPE-I 17 H 400 Plus</t>
  </si>
  <si>
    <t>27,41 WPF 27 HT - 27,4 kW</t>
  </si>
  <si>
    <t>neue Daten von Viessmann, Elco, Stiebel Eltron und Heim</t>
  </si>
  <si>
    <t>Ochsner Wärmepumpen</t>
  </si>
  <si>
    <t>AIR 18</t>
  </si>
  <si>
    <t>AIR 23</t>
  </si>
  <si>
    <t>AIR 29</t>
  </si>
  <si>
    <t>AIR 41</t>
  </si>
  <si>
    <t>AIR 85</t>
  </si>
  <si>
    <t>AIR FALCON 212</t>
  </si>
  <si>
    <t>AIR HAWK 208</t>
  </si>
  <si>
    <t>AIR HAWK 518</t>
  </si>
  <si>
    <t>AIR HAWK 726</t>
  </si>
  <si>
    <t>AIR HAWK 1850</t>
  </si>
  <si>
    <t>TERRA 8</t>
  </si>
  <si>
    <t>TERRA 11</t>
  </si>
  <si>
    <t>TERRA 14</t>
  </si>
  <si>
    <t>TERRA 18</t>
  </si>
  <si>
    <t>TERRA 27</t>
  </si>
  <si>
    <t>TERRA 40</t>
  </si>
  <si>
    <t>TERRA 76</t>
  </si>
  <si>
    <t>TERRA FOX 208 HPLA S200</t>
  </si>
  <si>
    <t>TERRA FOX 312 HPLA S200</t>
  </si>
  <si>
    <t>TERRA FOX 416 HPLA S200</t>
  </si>
  <si>
    <t>AQUA 11</t>
  </si>
  <si>
    <t>AQUA 14</t>
  </si>
  <si>
    <t>AQUA 17</t>
  </si>
  <si>
    <t>AQUA 22</t>
  </si>
  <si>
    <t>AQUA 36</t>
  </si>
  <si>
    <t>AQUA 54</t>
  </si>
  <si>
    <t>AQUA 97</t>
  </si>
  <si>
    <t>Hybrox 11</t>
  </si>
  <si>
    <t>Hybrox 16</t>
  </si>
  <si>
    <t>NIBE Wärmetechnik</t>
  </si>
  <si>
    <t>S1156-8</t>
  </si>
  <si>
    <t>S1156-13</t>
  </si>
  <si>
    <t>S1156-18</t>
  </si>
  <si>
    <t>S1256-8</t>
  </si>
  <si>
    <t>S1256-13</t>
  </si>
  <si>
    <t>S1256-18</t>
  </si>
  <si>
    <t>LWsp 2-30 *</t>
  </si>
  <si>
    <t>LWsp 2-36 *</t>
  </si>
  <si>
    <t>LWsp 2-45 *</t>
  </si>
  <si>
    <t>LWsp 2-56 *</t>
  </si>
  <si>
    <t>LWasp 2-30 *</t>
  </si>
  <si>
    <t>LWasp 2-36 *</t>
  </si>
  <si>
    <t>LWasp 2-45 *</t>
  </si>
  <si>
    <t>LWasp 2-56 *</t>
  </si>
  <si>
    <t>LI11TES(L)</t>
  </si>
  <si>
    <t>LI16TES(L)</t>
  </si>
  <si>
    <t>LI28TES(L)</t>
  </si>
  <si>
    <t>LA 35 TBS **</t>
  </si>
  <si>
    <t>LA18S-TU ***</t>
  </si>
  <si>
    <t>LA18S-TUR ****</t>
  </si>
  <si>
    <t>07,41 kW WPL 19 I / IK / A</t>
  </si>
  <si>
    <t>21,50 kW WPF 20</t>
  </si>
  <si>
    <t>29,69 kW WPF 27</t>
  </si>
  <si>
    <t>HM093HFX.UB60</t>
  </si>
  <si>
    <t>HM123HFX.UB60</t>
  </si>
  <si>
    <t>HM143HFX.UB60</t>
  </si>
  <si>
    <t>HM163HFX.UB60</t>
  </si>
  <si>
    <t>dynamic pro ac 10 AW E</t>
  </si>
  <si>
    <t>dynamic pro ac 16 AW E</t>
  </si>
  <si>
    <t>8.3.33</t>
  </si>
  <si>
    <t>Korrigierte Daten von Ochsner, AIT, Strieble Eltron, Iseli, Buderus und Heim</t>
  </si>
  <si>
    <t>8.3.34</t>
  </si>
  <si>
    <t>8.3.35</t>
  </si>
  <si>
    <t>8.3.36</t>
  </si>
  <si>
    <t>8.3.37</t>
  </si>
  <si>
    <t>8.3.38</t>
  </si>
  <si>
    <t>8.3.39</t>
  </si>
  <si>
    <t>8.3.40</t>
  </si>
  <si>
    <t>8.3.41</t>
  </si>
  <si>
    <t>8.3.42</t>
  </si>
  <si>
    <t>8.3.43</t>
  </si>
  <si>
    <t>8.3.44</t>
  </si>
  <si>
    <t>8.3.45</t>
  </si>
  <si>
    <t>8.3.46</t>
  </si>
  <si>
    <t>8.3.47</t>
  </si>
  <si>
    <t>Fischerkälte-Mitsubishi Electric</t>
  </si>
  <si>
    <t>PUZ-SWM60VAA</t>
  </si>
  <si>
    <t>PUZ-SWM80YAA</t>
  </si>
  <si>
    <t>PUZ-SWM100YAA</t>
  </si>
  <si>
    <t>PUZ-SWM120YAA</t>
  </si>
  <si>
    <t>PUZ-SWM140YAA</t>
  </si>
  <si>
    <t>PUZ-SHWM60VAA</t>
  </si>
  <si>
    <t>PUZ-SHWM80YAA</t>
  </si>
  <si>
    <t>PUZ-SHWM100YAA</t>
  </si>
  <si>
    <t>PUZ-SHWM120YAA</t>
  </si>
  <si>
    <t>PUZ-SHWM140YAA</t>
  </si>
  <si>
    <t>Bosch CS5800i AW 5 OR E/MB</t>
  </si>
  <si>
    <t>Bosch CS5800i AW 7 OR E/MB</t>
  </si>
  <si>
    <t>Bosch CS5800i AW 10 OR E/MB</t>
  </si>
  <si>
    <t>Bosch CS5800i AW 12 OR E/MB</t>
  </si>
  <si>
    <t>Bosch CS6800i AW 5 OR E/MB</t>
  </si>
  <si>
    <t>Mitsubishi Ecodan PUZ-SHWM60VAA</t>
  </si>
  <si>
    <t>Mitsubishi Ecodan PUZ-SHWM80YAA</t>
  </si>
  <si>
    <t>Mitsubishi Ecodan PUZ-SHWM100YAA</t>
  </si>
  <si>
    <t>Mitsubishi Ecodan PUZ-SHWM120YAA</t>
  </si>
  <si>
    <t>Mitsubishi Ecodan PUZ-SHWM140YAA</t>
  </si>
  <si>
    <t>Oertli M-Flex 6SR</t>
  </si>
  <si>
    <t>Oertli M-Flex 9SR</t>
  </si>
  <si>
    <t>Oertli ECOLC 9-16</t>
  </si>
  <si>
    <t>150-A AWO-M-E-AC(-AF)151.A04</t>
  </si>
  <si>
    <t>150-A AWO-M-E-AC(-AF)151.A06</t>
  </si>
  <si>
    <t>150-A AWO-M-E-AC(-AF)151.A08</t>
  </si>
  <si>
    <t>150-A AWO-E-AC(-AF)151.A10</t>
  </si>
  <si>
    <t>150-A AWO-E-AC(-AF)151.A13</t>
  </si>
  <si>
    <t>150-A AWO-E-AC(-AF)151.A16</t>
  </si>
  <si>
    <t>151-A AWOT-M-E-AC(-AF)151.A04</t>
  </si>
  <si>
    <t>151-A AWOT-M-E-AC(-AF)151.A06</t>
  </si>
  <si>
    <t>151-A AWOT-M-E-AC(-AF)151.A08</t>
  </si>
  <si>
    <t>151-A AWOT-E-AC(-AF)151.A10</t>
  </si>
  <si>
    <t>151-A AWOT-E-AC(-AF)151.A13</t>
  </si>
  <si>
    <t>151-A AWOT-E-AC(-AF)151.A16</t>
  </si>
  <si>
    <t>Daten geändert von Viessmann und Meier Tobler AG</t>
  </si>
  <si>
    <t>Oertli SI-GEO+ 2-10 Pro</t>
  </si>
  <si>
    <t>Oertli SI-GEO+ 4-16 Pro</t>
  </si>
  <si>
    <t>Panasonic M-Serie 9</t>
  </si>
  <si>
    <t>Panasonic M-Serie 12</t>
  </si>
  <si>
    <t>Panasonic M-Serie 16</t>
  </si>
  <si>
    <t>Panasonic M-Serie 20</t>
  </si>
  <si>
    <t>Panasonic M-Serie 25</t>
  </si>
  <si>
    <t>Panasonic M-Serie 30</t>
  </si>
  <si>
    <t>Oertli SI-GEO 12-45 HP</t>
  </si>
  <si>
    <t>Oertli SI-GEO 15-60 HP</t>
  </si>
  <si>
    <t>Oertli SI-GEO 20-85 HP</t>
  </si>
  <si>
    <t>WAB 8-A-RME-A</t>
  </si>
  <si>
    <t>WAB 11-A-RME-A</t>
  </si>
  <si>
    <t>WAB 14-A-RME-A</t>
  </si>
  <si>
    <t>WWP LI 22-A R</t>
  </si>
  <si>
    <t>WWP LI 26-A R</t>
  </si>
  <si>
    <t>WGB 20-A-MD(P)-A</t>
  </si>
  <si>
    <t>EcoAir 708M</t>
  </si>
  <si>
    <t>EcoAir 712M</t>
  </si>
  <si>
    <t>EcoAir 720M</t>
  </si>
  <si>
    <t>Templari</t>
  </si>
  <si>
    <t>KITA LP 22</t>
  </si>
  <si>
    <t>KITA LP 28</t>
  </si>
  <si>
    <t>KITA LP Plus 35</t>
  </si>
  <si>
    <t>KITA LP Plus 40</t>
  </si>
  <si>
    <t>Optialtum OAI HT 1-28f  (70 Hz)</t>
  </si>
  <si>
    <t>Optialtum OAI HT 1-33f  (70 Hz)</t>
  </si>
  <si>
    <t>Optialtum OAI HT 1-38f  (70 Hz)</t>
  </si>
  <si>
    <t>Optialtum OAI HT 1-44f  (70 Hz)</t>
  </si>
  <si>
    <t>Optialtum OAI HT 2-55f  (70 Hz)</t>
  </si>
  <si>
    <t>Optialtum OAI HT 2-66f  (70 Hz)</t>
  </si>
  <si>
    <t>Optialtum OAI HT 2-76f  (70 Hz)</t>
  </si>
  <si>
    <t>Optialtum OAI HT 2-88f  (70 Hz)</t>
  </si>
  <si>
    <t>Aeroheat Aussen AH CL 11a  (Qh: 100% redu.)</t>
  </si>
  <si>
    <t>Aeroheat Aussen AH CL 16a  (Qh: 100% redu.)</t>
  </si>
  <si>
    <t>AEROTOP SPK16</t>
  </si>
  <si>
    <t>AEROTOP SPK20</t>
  </si>
  <si>
    <t>aroTHERM plus VWL 55/8.1</t>
  </si>
  <si>
    <t>aroTHERM plus VWL 75/8.1</t>
  </si>
  <si>
    <t>aroTHERM plus VWL 105/8.1</t>
  </si>
  <si>
    <t>aroTHERM plus VWL 125/8.1</t>
  </si>
  <si>
    <t>Belaria pro (40)</t>
  </si>
  <si>
    <t>Belaria pro (50)</t>
  </si>
  <si>
    <t>neue Geräte, Namensanpassung, Datenanpassung: CTC, CTA, Elco, Vaillant und Hoval</t>
  </si>
  <si>
    <t>neue Geräte, Namensanpassung, Datenanpassung: andere WP Firmen</t>
  </si>
  <si>
    <t>Hybrox 21</t>
  </si>
  <si>
    <t xml:space="preserve"> LW 140</t>
  </si>
  <si>
    <t>Daikin EPSK08* + EP(B/V)X10*</t>
  </si>
  <si>
    <t>Daikin EPSK10* + EP(B/V)X10*</t>
  </si>
  <si>
    <t>Daikin EPSK12* + EP(B/V)X14*</t>
  </si>
  <si>
    <t>Daikin EPSK14* + EP(B/V)X14*</t>
  </si>
  <si>
    <t>Dimplex LA 9S-TUR</t>
  </si>
  <si>
    <t>Dimplex LA 1422C</t>
  </si>
  <si>
    <t>Dimplex LA 1525CP</t>
  </si>
  <si>
    <t>Dimplex LA 3860</t>
  </si>
  <si>
    <t>Dimplex LA 60S-TU</t>
  </si>
  <si>
    <t>Dimplex LA 60S-TUR</t>
  </si>
  <si>
    <t>Dimplex LA2030CP</t>
  </si>
  <si>
    <t>Dimplex LA3040CP</t>
  </si>
  <si>
    <t>LA 1525 CP</t>
  </si>
  <si>
    <t>LA 2030 CP</t>
  </si>
  <si>
    <t>LA 4060 CP</t>
  </si>
  <si>
    <t>S2125-16</t>
  </si>
  <si>
    <t>S2125-20</t>
  </si>
  <si>
    <t>Helox 21</t>
  </si>
  <si>
    <t>Philippe Marechal /ES Energy Save</t>
  </si>
  <si>
    <t>ES M8 R290</t>
  </si>
  <si>
    <t>ES M12 R290</t>
  </si>
  <si>
    <t>ES M15 R290</t>
  </si>
  <si>
    <t>ES M40 R290</t>
  </si>
  <si>
    <t>neue Geräte, Namensanpassung, Datenanpassung</t>
  </si>
  <si>
    <t>Oertli Terra 2-7i</t>
  </si>
  <si>
    <t>Oertli Aero 2-8a</t>
  </si>
  <si>
    <t xml:space="preserve">Oertli Aero 4-12a </t>
  </si>
  <si>
    <t xml:space="preserve">Oertli Aero 6-15a </t>
  </si>
  <si>
    <t>Oertli Aero 2-8a compact</t>
  </si>
  <si>
    <t xml:space="preserve">Oertli Aero 4-12a compact </t>
  </si>
  <si>
    <t>Wolf (Schweiz) AG</t>
  </si>
  <si>
    <t>ADAPT 0312</t>
  </si>
  <si>
    <t>ADAPT 0416</t>
  </si>
  <si>
    <t>ADAPT 0724</t>
  </si>
  <si>
    <t>ADAPT MAX 10035</t>
  </si>
  <si>
    <t>ADAPT MAX 10070</t>
  </si>
  <si>
    <t>ADAPT MAX 10105</t>
  </si>
  <si>
    <t>ADAPT MAX 10140</t>
  </si>
  <si>
    <t>VERSI-I</t>
  </si>
  <si>
    <t>VERSI-O</t>
  </si>
  <si>
    <t>VERSI-X</t>
  </si>
  <si>
    <t>ETERA S</t>
  </si>
  <si>
    <t>ETERA M</t>
  </si>
  <si>
    <t>ETERA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</si>
</sst>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5">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4" fontId="5" fillId="25" borderId="0" xfId="0" quotePrefix="1" applyNumberFormat="1" applyFont="1" applyFill="1" applyAlignment="1">
      <alignment horizontal="left" wrapText="1"/>
    </xf>
    <xf numFmtId="14" fontId="4" fillId="0" borderId="0" xfId="0" applyNumberFormat="1" applyFont="1"/>
    <xf numFmtId="0" fontId="5" fillId="23" borderId="21"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9" fillId="32" borderId="16"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11" fillId="24" borderId="23" xfId="0" applyFont="1" applyFill="1" applyBorder="1" applyAlignment="1">
      <alignment horizontal="center"/>
    </xf>
    <xf numFmtId="0" fontId="37" fillId="0" borderId="0" xfId="0" applyFont="1" applyAlignment="1">
      <alignment horizontal="left" wrapText="1"/>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Besoins de chaleur sans les gains de chaleur</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Couverture par les capteurs solaires</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Besoins de chaleur sans capteurs solaires</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Chauffage d'appoint</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Charge de base PAC, y c. corps de chauffe ECS</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2" val="0"/>
</file>

<file path=xl/ctrlProps/ctrlProp2.xml><?xml version="1.0" encoding="utf-8"?>
<formControlPr xmlns="http://schemas.microsoft.com/office/spreadsheetml/2009/9/main" objectType="Drop" dropLines="3" dropStyle="combo" dx="22" fmlaLink="C2" fmlaRange="$G$2:$G$4" noThreeD="1" sel="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Chauffage</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Puissance therm.</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ECS eau chaude sanitaire</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ECS eau chaude sanitaire</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Puissance therm.</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Fréquence cumulée</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Besoin de puissance max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Heures annuelles</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Courbe de chauffe de la PAC (et pas celle des consommateurs de chauffage):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Ret</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Dep</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G2" sqref="G2:H2"/>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x14ac:dyDescent="0.2">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x14ac:dyDescent="0.2">
      <c r="A2" s="1"/>
      <c r="B2" s="2" t="str">
        <f>Sprache!B9</f>
        <v>Projet:</v>
      </c>
      <c r="C2" s="2"/>
      <c r="D2" s="2"/>
      <c r="G2" s="1234" t="str">
        <f>Sprache!B8</f>
        <v>WPesti / V 8.3.38 / 19.12.2025                valable jusqu'à 31.12.2026</v>
      </c>
      <c r="H2" s="1234"/>
      <c r="J2" s="1099"/>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x14ac:dyDescent="0.2">
      <c r="A3" s="1"/>
      <c r="B3" s="1226" t="str">
        <f>IF(JAZcalc,IF(JAZcalc!C4="","",JAZcalc!C4&amp;" "&amp;JAZcalc!C5&amp;" "&amp;JAZcalc!C6),IF(WP!B3&lt;&gt;"",WP!B3,""))</f>
        <v/>
      </c>
      <c r="C3" s="1227"/>
      <c r="D3" s="1227"/>
      <c r="E3" s="1227"/>
      <c r="F3" s="1227"/>
      <c r="G3" s="1227"/>
      <c r="H3" s="1228"/>
      <c r="K3" s="6" t="s">
        <v>3474</v>
      </c>
      <c r="L3" s="7">
        <f>IF(JAZcalc,JAZcalc!O3,IF(H7=0,1,MATCH(H7,K5:K17,0)))</f>
        <v>1</v>
      </c>
      <c r="M3" s="1235">
        <f>H7</f>
        <v>0</v>
      </c>
      <c r="N3" s="1236"/>
      <c r="O3" s="121" t="s">
        <v>3490</v>
      </c>
      <c r="P3" s="65" t="s">
        <v>3361</v>
      </c>
      <c r="Q3" s="6" t="s">
        <v>710</v>
      </c>
      <c r="R3" s="452">
        <f>J20</f>
        <v>1</v>
      </c>
      <c r="S3" s="118"/>
      <c r="T3" s="1232">
        <f>WP_Daten!E2</f>
        <v>46010</v>
      </c>
      <c r="U3" s="1233"/>
      <c r="V3" s="1052"/>
      <c r="W3" s="1112"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x14ac:dyDescent="0.3">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37" t="s">
        <v>711</v>
      </c>
      <c r="U4" s="1238"/>
      <c r="V4" s="1239"/>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x14ac:dyDescent="0.2">
      <c r="A5" s="1"/>
      <c r="B5" s="32" t="str">
        <f>Sprache!B10</f>
        <v>Données concernant le bâtiment</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x14ac:dyDescent="0.2">
      <c r="B6" s="36" t="str">
        <f>Sprache!B11</f>
        <v xml:space="preserve">Station climatique:    </v>
      </c>
      <c r="C6" s="4"/>
      <c r="D6" s="4"/>
      <c r="E6" s="31"/>
      <c r="F6" s="4"/>
      <c r="G6" s="37" t="str">
        <f>IF(JAZcalc,"",IF(Klima=1,Sprache!B24,""))</f>
        <v>choisir -&gt;</v>
      </c>
      <c r="H6" s="998">
        <f>IF(JAZcalc,JAZcalc!H9,WP!H6)</f>
        <v>0</v>
      </c>
      <c r="K6" s="20" t="str">
        <f>Sprache!B100</f>
        <v>Habitat collectif</v>
      </c>
      <c r="L6" s="291">
        <v>55</v>
      </c>
      <c r="M6" s="223">
        <v>65</v>
      </c>
      <c r="N6" s="291">
        <f>IF(O6&gt;0,O6,75)*(1+EtaWW)</f>
        <v>75</v>
      </c>
      <c r="O6" s="307">
        <f>IF(JAZcalc,JAZcalc!O6,0)</f>
        <v>0</v>
      </c>
      <c r="P6" s="17">
        <v>3.1</v>
      </c>
      <c r="Q6" s="20" t="str">
        <f>Sprache!B61</f>
        <v>Pompe à chaleur air/eau</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x14ac:dyDescent="0.2">
      <c r="B7" s="38" t="str">
        <f>Sprache!B13</f>
        <v>Catégorie d'ouvrage</v>
      </c>
      <c r="C7" s="40"/>
      <c r="D7" s="40"/>
      <c r="E7" s="39"/>
      <c r="F7" s="40"/>
      <c r="G7" s="41" t="str">
        <f>IF(Kategorie=1,Sprache!B24,"")</f>
        <v>choisir -&gt;</v>
      </c>
      <c r="H7" s="999">
        <f>IF(JAZcalc,JAZcalc!H10,WP!H7)</f>
        <v>0</v>
      </c>
      <c r="K7" s="20" t="str">
        <f>Sprache!B101</f>
        <v>Habitat individuel</v>
      </c>
      <c r="L7" s="291">
        <v>65</v>
      </c>
      <c r="M7" s="223">
        <v>65</v>
      </c>
      <c r="N7" s="291">
        <f>IF(O7&gt;0,O7,50)*(1+EtaWW)</f>
        <v>50</v>
      </c>
      <c r="O7" s="307">
        <f>IF(JAZcalc,JAZcalc!O7,0)</f>
        <v>0</v>
      </c>
      <c r="P7" s="30">
        <v>2.4</v>
      </c>
      <c r="Q7" s="20" t="str">
        <f>Sprache!B62</f>
        <v>Pompe à chaleur sol/eau</v>
      </c>
      <c r="R7" s="5"/>
      <c r="S7" s="21"/>
      <c r="T7" s="20" t="str">
        <f>Sprache!B67</f>
        <v>Puissance électrique soutirée par pompe de sonde:</v>
      </c>
      <c r="U7" s="21" t="s">
        <v>724</v>
      </c>
      <c r="V7" s="20" t="str">
        <f>Sprache!B72</f>
        <v xml:space="preserve">Nombre: </v>
      </c>
      <c r="W7" s="28" t="s">
        <v>721</v>
      </c>
      <c r="X7" s="20" t="str">
        <f>Sprache!B77</f>
        <v xml:space="preserve">Longueur: </v>
      </c>
      <c r="Y7" s="21" t="s">
        <v>722</v>
      </c>
      <c r="Z7" s="155" t="str">
        <f>Sprache!B82</f>
        <v>Température de dimensionnement des sondes (optionnel, calcul externe)</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x14ac:dyDescent="0.2">
      <c r="B8" s="38" t="str">
        <f>Sprache!B12</f>
        <v>Surface de référence énergétique SRE</v>
      </c>
      <c r="C8" s="40"/>
      <c r="D8" s="40"/>
      <c r="E8" s="47" t="str">
        <f>IF(OR(EBF="",EBF=0),Sprache!B75,"")</f>
        <v>choisir -&gt;</v>
      </c>
      <c r="F8" s="42" t="s">
        <v>2341</v>
      </c>
      <c r="G8" s="42" t="s">
        <v>737</v>
      </c>
      <c r="H8" s="43">
        <f>IF(JAZcalc,JAZcalc!I11,WP!H8)</f>
        <v>0</v>
      </c>
      <c r="K8" s="20" t="str">
        <f>Sprache!B102</f>
        <v>Administration</v>
      </c>
      <c r="L8" s="291">
        <v>65</v>
      </c>
      <c r="M8" s="223">
        <v>85</v>
      </c>
      <c r="N8" s="291">
        <f>IF(O8&gt;0,O8,25)*(1+EtaWW)</f>
        <v>25</v>
      </c>
      <c r="O8" s="307">
        <f>IF(JAZcalc,JAZcalc!O8,0)</f>
        <v>0</v>
      </c>
      <c r="P8" s="30">
        <v>3.3</v>
      </c>
      <c r="Q8" s="20" t="str">
        <f>Sprache!B63</f>
        <v>Pompe à chaleur eau/eau</v>
      </c>
      <c r="R8" s="5"/>
      <c r="S8" s="21"/>
      <c r="T8" s="20" t="str">
        <f>IF(WW,Sprache!B68,"")</f>
        <v/>
      </c>
      <c r="U8" s="28" t="str">
        <f>IF(WW,"-","")</f>
        <v/>
      </c>
      <c r="V8" s="20" t="str">
        <f>IF(OR(Heizung,WW),Sprache!B73,"")</f>
        <v/>
      </c>
      <c r="W8" s="28" t="str">
        <f>IF(Heizung,"-","")</f>
        <v/>
      </c>
      <c r="X8" s="20" t="str">
        <f>IF(OR(Heizung,WW),Sprache!B78,"")</f>
        <v/>
      </c>
      <c r="Y8" s="21" t="str">
        <f>IF(Heizung,"kW","")</f>
        <v/>
      </c>
      <c r="Z8" s="20" t="str">
        <f>Sprache!B83</f>
        <v xml:space="preserve">Température source de chaleur (si pas 10°C) </v>
      </c>
      <c r="AA8" s="21" t="s">
        <v>728</v>
      </c>
      <c r="AB8" s="5" t="str">
        <f>Sprache!B88</f>
        <v>Puissance électrique soutirée par pompe de circulation:</v>
      </c>
      <c r="AC8" s="5" t="s">
        <v>724</v>
      </c>
      <c r="AD8" s="20" t="str">
        <f>Sprache!B92</f>
        <v>Type de pompe (données nécessaires si puissance &lt; valeur proposée)</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x14ac:dyDescent="0.2">
      <c r="B9" s="38" t="str">
        <f>Sprache!B14</f>
        <v>Besoins de chaleur pour le chauffage selon SIA 380/1</v>
      </c>
      <c r="C9" s="40"/>
      <c r="D9" s="40"/>
      <c r="E9" s="47" t="str">
        <f>IF(OR(H9="",H9=0),Sprache!B75,"")</f>
        <v>choisir -&gt;</v>
      </c>
      <c r="F9" s="42" t="s">
        <v>2368</v>
      </c>
      <c r="G9" s="42" t="s">
        <v>741</v>
      </c>
      <c r="H9" s="43">
        <f>IF(JAZcalc,JAZcalc!I12*3.6,WP!H9*Einheitenfaktor)</f>
        <v>0</v>
      </c>
      <c r="J9" s="1076"/>
      <c r="K9" s="20" t="str">
        <f>Sprache!B103</f>
        <v>Ecole</v>
      </c>
      <c r="L9" s="291">
        <v>70</v>
      </c>
      <c r="M9" s="223">
        <v>70</v>
      </c>
      <c r="N9" s="291">
        <f>IF(O9&gt;0,O9,25)*(1+EtaWW)</f>
        <v>25</v>
      </c>
      <c r="O9" s="307">
        <f>IF(JAZcalc,JAZcalc!O9,0)</f>
        <v>0</v>
      </c>
      <c r="P9" s="30">
        <v>2.2999999999999998</v>
      </c>
      <c r="Q9" s="20" t="str">
        <f>Sprache!B64</f>
        <v>PAC avec collecteur terrestre</v>
      </c>
      <c r="R9" s="5"/>
      <c r="S9" s="21"/>
      <c r="T9" s="20" t="str">
        <f>Sprache!B70</f>
        <v>Puissance électrique soutirée par pompe saumure:</v>
      </c>
      <c r="U9" s="21" t="s">
        <v>724</v>
      </c>
      <c r="V9" s="20" t="str">
        <f>Sprache!B74</f>
        <v>Surface de collecteurs</v>
      </c>
      <c r="W9" s="21" t="s">
        <v>2339</v>
      </c>
      <c r="X9" s="20" t="str">
        <f>Sprache!B80</f>
        <v>Puissance spécifique soutirée</v>
      </c>
      <c r="Y9" s="21" t="s">
        <v>1221</v>
      </c>
      <c r="Z9" s="155" t="str">
        <f>Sprache!B84</f>
        <v>Température de dimensionnement des sondes (optionnel, calcul externe)</v>
      </c>
      <c r="AA9" s="5" t="s">
        <v>2948</v>
      </c>
      <c r="AB9" s="20" t="str">
        <f>Sprache!B89</f>
        <v>COP aux conditions normalisées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x14ac:dyDescent="0.2">
      <c r="B10" s="38" t="str">
        <f>Sprache!B15</f>
        <v>Déperditions par transmission selon SIA 380/1</v>
      </c>
      <c r="C10" s="40"/>
      <c r="D10" s="40"/>
      <c r="E10" s="47" t="str">
        <f>IF(OR(QT="",QT=0),Sprache!B75,IF(H10,IF(H10&lt;=0.5*$H$9,Sprache!B131,""),""))</f>
        <v>choisir -&gt;</v>
      </c>
      <c r="F10" s="42" t="s">
        <v>744</v>
      </c>
      <c r="G10" s="42" t="s">
        <v>741</v>
      </c>
      <c r="H10" s="43">
        <f>IF(JAZcalc,JAZcalc!I13*3.6,WP!H10*Einheitenfaktor)</f>
        <v>0</v>
      </c>
      <c r="K10" s="20" t="str">
        <f>Sprache!B104</f>
        <v>Commerce</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x14ac:dyDescent="0.2">
      <c r="B11" s="38" t="str">
        <f>Sprache!B16</f>
        <v>Déperditions par renouvellement d'air selon SIA 380/1</v>
      </c>
      <c r="C11" s="40"/>
      <c r="D11" s="40"/>
      <c r="E11" s="47" t="str">
        <f>IF(OR(QV="",QV=0),Sprache!B75,IF(H11,IF((H11+QT)&lt;$H$9,Sprache!B131,""),""))</f>
        <v>choisir -&gt;</v>
      </c>
      <c r="F11" s="42" t="s">
        <v>750</v>
      </c>
      <c r="G11" s="42" t="s">
        <v>741</v>
      </c>
      <c r="H11" s="43">
        <f>IF(JAZcalc,JAZcalc!I14*3.6,WP!H11*Einheitenfaktor)</f>
        <v>0</v>
      </c>
      <c r="K11" s="20" t="str">
        <f>Sprache!B105</f>
        <v>Restauration</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x14ac:dyDescent="0.2">
      <c r="B12" s="38" t="str">
        <f>Sprache!B17</f>
        <v>Chauffage: pertes supplémentaires de distribution de chaleur</v>
      </c>
      <c r="C12" s="40"/>
      <c r="D12" s="40"/>
      <c r="E12" s="47"/>
      <c r="F12" s="42"/>
      <c r="G12" s="42" t="s">
        <v>3643</v>
      </c>
      <c r="H12" s="57">
        <f>IF(JAZcalc,JAZcalc!I15,WP!H12)</f>
        <v>0</v>
      </c>
      <c r="K12" s="20" t="str">
        <f>Sprache!B106</f>
        <v>Lieu de rassemblement</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x14ac:dyDescent="0.2">
      <c r="B13" s="38" t="str">
        <f>Sprache!B18</f>
        <v>Durée de coupure d'alimentation de la PAC</v>
      </c>
      <c r="C13" s="40"/>
      <c r="D13" s="40"/>
      <c r="E13" s="47"/>
      <c r="F13" s="42"/>
      <c r="G13" s="63" t="s">
        <v>3647</v>
      </c>
      <c r="H13" s="64">
        <f>IF(JAZcalc,JAZcalc!I16,WP!H13)</f>
        <v>0</v>
      </c>
      <c r="K13" s="20" t="str">
        <f>Sprache!B107</f>
        <v>Hôpitaux</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x14ac:dyDescent="0.2">
      <c r="B14" s="38" t="str">
        <f>Sprache!B19</f>
        <v>Puissance de chauffage nécessaire sans ECS à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3650</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29" t="str">
        <f>INDEX(Q5:Q13,WPArt,1)</f>
        <v xml:space="preserve"> </v>
      </c>
      <c r="R14" s="1230"/>
      <c r="S14" s="1231"/>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x14ac:dyDescent="0.2">
      <c r="B15" s="38" t="str">
        <f>Sprache!B20</f>
        <v>Besoins de chaleur pour l'ECS selon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Dépôt</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24" t="s">
        <v>746</v>
      </c>
      <c r="V15" s="1225"/>
      <c r="W15" s="1224" t="s">
        <v>747</v>
      </c>
      <c r="X15" s="1225"/>
      <c r="Y15" s="1224" t="s">
        <v>748</v>
      </c>
      <c r="Z15" s="1225"/>
      <c r="AA15" s="1224" t="s">
        <v>1224</v>
      </c>
      <c r="AB15" s="1225"/>
      <c r="AC15" s="1224" t="s">
        <v>1749</v>
      </c>
      <c r="AD15" s="1225"/>
      <c r="AE15" s="1224" t="s">
        <v>746</v>
      </c>
      <c r="AF15" s="1225"/>
      <c r="AG15" s="1224" t="s">
        <v>747</v>
      </c>
      <c r="AH15" s="1225"/>
      <c r="AI15" s="1224" t="s">
        <v>748</v>
      </c>
      <c r="AJ15" s="1225"/>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x14ac:dyDescent="0.2">
      <c r="B16" s="77" t="str">
        <f>Sprache!B21</f>
        <v>Eau chaude sanitaire: pertes supplémentaires d'accumulation et de distribution</v>
      </c>
      <c r="C16" s="534"/>
      <c r="D16" s="534"/>
      <c r="E16" s="78"/>
      <c r="F16" s="79"/>
      <c r="G16" s="79" t="s">
        <v>3643</v>
      </c>
      <c r="H16" s="729">
        <f>IF(JAZcalc,JAZcalc!I19,WP!H16)</f>
        <v>0</v>
      </c>
      <c r="J16" s="728">
        <f>IF(H16&lt;0,H16,MAX(IF(H16&gt;0,H16,0),IF(J43=3,0.2,0)))</f>
        <v>0</v>
      </c>
      <c r="K16" s="20" t="str">
        <f>Sprache!B110</f>
        <v>Installation sportive</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5" t="s">
        <v>752</v>
      </c>
      <c r="V16" s="1216"/>
      <c r="W16" s="1215" t="s">
        <v>752</v>
      </c>
      <c r="X16" s="1216"/>
      <c r="Y16" s="1215" t="s">
        <v>752</v>
      </c>
      <c r="Z16" s="1216"/>
      <c r="AA16" s="1215" t="s">
        <v>752</v>
      </c>
      <c r="AB16" s="1216"/>
      <c r="AC16" s="1215" t="s">
        <v>752</v>
      </c>
      <c r="AD16" s="1217"/>
      <c r="AE16" s="1215" t="s">
        <v>752</v>
      </c>
      <c r="AF16" s="1216"/>
      <c r="AG16" s="1215" t="s">
        <v>752</v>
      </c>
      <c r="AH16" s="1216"/>
      <c r="AI16" s="1215" t="s">
        <v>752</v>
      </c>
      <c r="AJ16" s="1216"/>
      <c r="AK16" s="5"/>
      <c r="AL16" s="54" t="s">
        <v>3641</v>
      </c>
      <c r="AM16" s="55"/>
      <c r="AN16" s="56"/>
      <c r="AP16" s="377"/>
      <c r="AQ16" s="377"/>
      <c r="AR16" s="377"/>
      <c r="AS16" s="377"/>
      <c r="AT16" s="377"/>
      <c r="AU16" s="377"/>
      <c r="AV16" s="377"/>
      <c r="AW16" s="377"/>
      <c r="AX16" s="377"/>
      <c r="AY16" s="377"/>
      <c r="AZ16" s="377"/>
      <c r="BA16" s="377"/>
      <c r="BB16" s="377"/>
      <c r="BC16" s="377"/>
      <c r="BD16" s="377"/>
      <c r="BE16" s="377"/>
    </row>
    <row r="17" spans="2:107" ht="12" customHeight="1" x14ac:dyDescent="0.2">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Piscine</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3645</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x14ac:dyDescent="0.2">
      <c r="B18" s="32" t="str">
        <f>Sprache!B22</f>
        <v>Installation de pompe à chaleur</v>
      </c>
      <c r="C18" s="1243">
        <f>IF(JAZcalc,JAZcalc!D21,WP!C18)</f>
        <v>0</v>
      </c>
      <c r="D18" s="1244"/>
      <c r="E18" s="998">
        <f>IF(JAZcalc,JAZcalc!F21,WP!E18)</f>
        <v>0</v>
      </c>
      <c r="F18" s="968" t="str">
        <f>IF(SpezWP,IF(Spez!E5&lt;&gt;"",Spez!E5,""),"Hersteller:  ")</f>
        <v xml:space="preserve">Hersteller:  </v>
      </c>
      <c r="G18" s="1245">
        <f>IF(JAZcalc,JAZcalc!H21,WP!G18)</f>
        <v>0</v>
      </c>
      <c r="H18" s="1246"/>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3649</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x14ac:dyDescent="0.2">
      <c r="B19" s="92" t="str">
        <f>Sprache!B23</f>
        <v>Nom et type de PAC</v>
      </c>
      <c r="C19" s="250"/>
      <c r="D19" s="250"/>
      <c r="E19" s="93"/>
      <c r="F19" s="967" t="str">
        <f>IF(SpezWP,IF(Spez!E5&lt;&gt;"",Spez!E5,""),"Typ:  ")</f>
        <v xml:space="preserve">Typ:  </v>
      </c>
      <c r="G19" s="1247">
        <f>IF(JAZcalc,JAZcalc!H22,WP!G19)</f>
        <v>0</v>
      </c>
      <c r="H19" s="1248"/>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x14ac:dyDescent="0.2">
      <c r="B20" s="92" t="str">
        <f>Sprache!B26</f>
        <v>Source de chaleur:</v>
      </c>
      <c r="C20" s="250"/>
      <c r="D20" s="250"/>
      <c r="E20" s="347" t="str">
        <f>IF(WPArt=1,Sprache!B24,"")</f>
        <v>choisir -&gt;</v>
      </c>
      <c r="F20" s="1240">
        <f>IF(JAZcalc,JAZcalc!G23,WP!F20)</f>
        <v>0</v>
      </c>
      <c r="G20" s="1241"/>
      <c r="H20" s="1242"/>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x14ac:dyDescent="0.2">
      <c r="B21" s="100" t="str">
        <f>Sprache!B27</f>
        <v>Utilisation (chauffage ou eau chaude sanitaire)</v>
      </c>
      <c r="C21" s="103"/>
      <c r="D21" s="103"/>
      <c r="E21" s="347" t="str">
        <f>IF(BH58=1,Sprache!B24,"")</f>
        <v>choisir -&gt;</v>
      </c>
      <c r="F21" s="1240" t="str">
        <f>IF(JAZcalc,JAZcalc!G24,WP!F21)</f>
        <v xml:space="preserve"> </v>
      </c>
      <c r="G21" s="1241"/>
      <c r="H21" s="1242"/>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x14ac:dyDescent="0.2">
      <c r="B22" s="100" t="str">
        <f>IF(Heizung=FALSE,"",Sprache!B29)</f>
        <v/>
      </c>
      <c r="C22" s="103"/>
      <c r="D22" s="103"/>
      <c r="E22" s="347" t="str">
        <f>IF(AND(HeizungSolar,$AI$132=3),Sprache!B25,IF(AND(AI132=1,Heizung),Sprache!B24,""))</f>
        <v/>
      </c>
      <c r="F22" s="1240" t="str">
        <f>IF(JAZcalc,JAZcalc!G25,WP!F22)</f>
        <v xml:space="preserve"> </v>
      </c>
      <c r="G22" s="1241"/>
      <c r="H22" s="1242"/>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x14ac:dyDescent="0.25">
      <c r="B23" s="100" t="str">
        <f>Sprache!B28</f>
        <v>Mode de fonctionnement de la PAC</v>
      </c>
      <c r="C23" s="103"/>
      <c r="D23" s="103"/>
      <c r="E23" s="347" t="str">
        <f>IF(AD139=1,Sprache!B24,"")</f>
        <v>choisir -&gt;</v>
      </c>
      <c r="F23" s="1240" t="str">
        <f>IF(JAZcalc,JAZcalc!G26,WP!F23)</f>
        <v xml:space="preserve"> </v>
      </c>
      <c r="G23" s="1241"/>
      <c r="H23" s="1242"/>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x14ac:dyDescent="0.25">
      <c r="B24" s="166" t="str">
        <f>IF(elZusatz,Sprache!B30,"")</f>
        <v/>
      </c>
      <c r="C24" s="499"/>
      <c r="D24" s="499"/>
      <c r="E24" s="538" t="str">
        <f>IF(AND(elZusatz,BH67=1),Sprache!B24,"")</f>
        <v/>
      </c>
      <c r="F24" s="1240" t="str">
        <f>IF(JAZcalc,IF(JAZcalc!G27&lt;&gt;0,JAZcalc!G27,""),IF(WP!F24&lt;&gt;0,WP!F24,""))</f>
        <v/>
      </c>
      <c r="G24" s="1241"/>
      <c r="H24" s="1242"/>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x14ac:dyDescent="0.2">
      <c r="B25" s="539" t="str">
        <f>Sprache!B69</f>
        <v>Température de la source (entrée PAC)</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x14ac:dyDescent="0.2">
      <c r="B26" s="502" t="str">
        <f>Sprache!B185&amp;IF(SpezWP,Spez!C10,35)&amp;"°C  (Qh / COP):"</f>
        <v>Valeurs de calcul pour Tdép35°C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x14ac:dyDescent="0.25">
      <c r="B27" s="536" t="str">
        <f>Sprache!B197&amp;" 35°C"</f>
        <v>Puissance de chauffe pour Tdép 35°C</v>
      </c>
      <c r="C27" s="116" t="s">
        <v>3650</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x14ac:dyDescent="0.25">
      <c r="B28" s="536" t="str">
        <f>Sprache!B198&amp;" 35°C"</f>
        <v>COP à la température de départ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3650</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x14ac:dyDescent="0.25">
      <c r="B29" s="536" t="str">
        <f>Sprache!B197&amp;" 55°C"</f>
        <v>Puissance de chauffe pour Tdép 55°C</v>
      </c>
      <c r="C29" s="116" t="s">
        <v>3650</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1"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x14ac:dyDescent="0.25">
      <c r="B30" s="540" t="str">
        <f>Sprache!B198&amp;" 55°C"</f>
        <v>COP à la température de départ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5" t="s">
        <v>3484</v>
      </c>
      <c r="V30" s="1216"/>
      <c r="W30" s="1215" t="s">
        <v>3484</v>
      </c>
      <c r="X30" s="1216"/>
      <c r="Y30" s="1215" t="s">
        <v>3484</v>
      </c>
      <c r="Z30" s="1216"/>
      <c r="AA30" s="1215" t="s">
        <v>3484</v>
      </c>
      <c r="AB30" s="1216"/>
      <c r="AC30" s="1215" t="s">
        <v>3484</v>
      </c>
      <c r="AD30" s="1255"/>
      <c r="AE30" s="1215" t="s">
        <v>3484</v>
      </c>
      <c r="AF30" s="1216"/>
      <c r="AG30" s="1215" t="s">
        <v>3484</v>
      </c>
      <c r="AH30" s="1216"/>
      <c r="AI30" s="1215" t="s">
        <v>3484</v>
      </c>
      <c r="AJ30" s="1216"/>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x14ac:dyDescent="0.2">
      <c r="B31" s="92" t="str">
        <f>IF(WPArt=4,Sprache!B88,Sprache!B70)</f>
        <v>Puissance électrique soutirée par pompe saumure:</v>
      </c>
      <c r="C31" s="250"/>
      <c r="D31" s="250"/>
      <c r="E31" s="346"/>
      <c r="F31" s="113"/>
      <c r="G31" s="541" t="s">
        <v>724</v>
      </c>
      <c r="H31" s="544">
        <f>IF(JAZcalc,JAZcalc!I34,WP!H31)</f>
        <v>0</v>
      </c>
      <c r="J31" s="5" t="b">
        <f>IF(OR(Spez!L38,Spez!L46),TRUE,FALSE)</f>
        <v>0</v>
      </c>
      <c r="K31" s="94" t="s">
        <v>1927</v>
      </c>
      <c r="L31" s="88"/>
      <c r="M31" s="104">
        <f>IF(EBF&gt;0,Berechnungen!B36,0)</f>
        <v>0</v>
      </c>
      <c r="N31" s="35" t="s">
        <v>3650</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x14ac:dyDescent="0.2">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3650</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x14ac:dyDescent="0.2">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x14ac:dyDescent="0.2">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x14ac:dyDescent="0.25">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x14ac:dyDescent="0.25">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x14ac:dyDescent="0.2">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x14ac:dyDescent="0.2">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x14ac:dyDescent="0.2">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x14ac:dyDescent="0.2">
      <c r="B40" s="92" t="str">
        <f>IF(WW,Sprache!B51,"")</f>
        <v/>
      </c>
      <c r="C40" s="250"/>
      <c r="D40" s="250"/>
      <c r="E40" s="346" t="str">
        <f>IF(AND(WW,BG83=1),Sprache!B24,"")</f>
        <v/>
      </c>
      <c r="F40" s="1252">
        <f>IF(JAZcalc,JAZcalc!G43,WP!F40)</f>
        <v>0</v>
      </c>
      <c r="G40" s="1253"/>
      <c r="H40" s="1254"/>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x14ac:dyDescent="0.2">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3650</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x14ac:dyDescent="0.2">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x14ac:dyDescent="0.2">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x14ac:dyDescent="0.2">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x14ac:dyDescent="0.2">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x14ac:dyDescent="0.2">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x14ac:dyDescent="0.2">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x14ac:dyDescent="0.25">
      <c r="B48" s="85" t="str">
        <f>Sprache!B31</f>
        <v>Installation solaire</v>
      </c>
      <c r="C48" s="551"/>
      <c r="D48" s="551"/>
      <c r="E48" s="731" t="str">
        <f>IF(AND(F48=""),Sprache!B24,"")</f>
        <v/>
      </c>
      <c r="F48" s="1249">
        <f>IF(JAZcalc,JAZcalc!G47,WP!F44)</f>
        <v>0</v>
      </c>
      <c r="G48" s="1250"/>
      <c r="H48" s="1251"/>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x14ac:dyDescent="0.2">
      <c r="B49" s="20" t="str">
        <f>Sprache!B55</f>
        <v>Surface des absorbeurs</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x14ac:dyDescent="0.2">
      <c r="B50" s="166" t="str">
        <f>Sprache!B56</f>
        <v>orientation / inclinaison des collecteurs</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Pente [°]:</v>
      </c>
      <c r="H50" s="173">
        <f>IF(JAZcalc,IF(JAZcalc!I49&lt;&gt;"",JAZcalc!I49,0),IF(WP!H46&lt;&gt;"",WP!H46,0))</f>
        <v>0</v>
      </c>
      <c r="K50" s="94" t="s">
        <v>2542</v>
      </c>
      <c r="L50" s="88" t="s">
        <v>2546</v>
      </c>
      <c r="M50" s="725">
        <f>IF(AND(Qww&gt;0,EBF&gt;0,J43=4),5*7*H43/(Qww*EBF/3.6+5*7*H43),0)</f>
        <v>0</v>
      </c>
      <c r="N50" s="35"/>
      <c r="O50" s="5"/>
      <c r="P50" s="619" t="s">
        <v>2539</v>
      </c>
      <c r="Q50" s="21"/>
      <c r="R50" s="20" t="str">
        <f>Sprache!B274</f>
        <v>Non disponibles</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x14ac:dyDescent="0.2">
      <c r="B51" s="166" t="str">
        <f>Sprache!B57</f>
        <v>Apport net par m2 d'absorbeur</v>
      </c>
      <c r="C51" s="499"/>
      <c r="D51" s="499"/>
      <c r="E51" s="689" t="str">
        <f>IF(_SIA384,Sprache!B269,Sprache!B140)</f>
        <v>valeur proposée:</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Circulation d'ECS</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x14ac:dyDescent="0.2">
      <c r="B52" s="166" t="str">
        <f>IF(OR(MinSol,solarExtern),Sprache!B58,Sprache!B275)</f>
        <v>Spécifications du collecteur</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Câble chauffant</v>
      </c>
      <c r="S52" s="44"/>
      <c r="T52" s="5"/>
      <c r="U52" s="100" t="str">
        <f>Spez!S21</f>
        <v xml:space="preserve">Qh B0/35 </v>
      </c>
      <c r="V52" s="103"/>
      <c r="W52" s="812">
        <f>IF(SpezWP,Spez!T21,IF(WPDatenbank,IF(WPArt=6,WP_Daten!O5,IF(WPArt=4,WP_Daten!AA5,WP_Daten!W5)),H27))</f>
        <v>0</v>
      </c>
      <c r="X52" s="786" t="s">
        <v>3650</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x14ac:dyDescent="0.2">
      <c r="B53" s="166" t="str">
        <f>Sprache!B59</f>
        <v>Taux de couverture solaire pour l'ECS</v>
      </c>
      <c r="C53" s="499"/>
      <c r="D53" s="499"/>
      <c r="E53" s="312"/>
      <c r="F53" s="840" t="s">
        <v>2310</v>
      </c>
      <c r="G53" s="42" t="s">
        <v>3643</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3650</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x14ac:dyDescent="0.2">
      <c r="B54" s="166" t="str">
        <f>Sprache!B60</f>
        <v>Taux de couverture solaire pour le chauffage</v>
      </c>
      <c r="C54" s="499"/>
      <c r="D54" s="499"/>
      <c r="E54" s="167"/>
      <c r="F54" s="840" t="s">
        <v>2310</v>
      </c>
      <c r="G54" s="42" t="s">
        <v>3643</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x14ac:dyDescent="0.2">
      <c r="B55" s="23"/>
      <c r="C55" s="23"/>
      <c r="D55" s="23"/>
      <c r="E55" s="176"/>
      <c r="F55" s="1210"/>
      <c r="G55" s="1210"/>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x14ac:dyDescent="0.25">
      <c r="B56" s="85" t="str">
        <f>Sprache!B32</f>
        <v>Résultats</v>
      </c>
      <c r="C56" s="495"/>
      <c r="D56" s="495"/>
      <c r="E56" s="86"/>
      <c r="F56" s="177"/>
      <c r="G56" s="177"/>
      <c r="H56" s="158"/>
      <c r="K56" s="685" t="s">
        <v>1127</v>
      </c>
      <c r="L56" s="55"/>
      <c r="M56" s="704" t="b">
        <f>IF(OR(N57=2,N57=4,N57=6),TRUE,FALSE)</f>
        <v>0</v>
      </c>
      <c r="N56" s="705" t="b">
        <f>IF(OR(N57=3,N57=5,N57=7),TRUE,FALSE)</f>
        <v>0</v>
      </c>
      <c r="O56" s="713"/>
      <c r="P56" s="1214" t="s">
        <v>933</v>
      </c>
      <c r="Q56" s="1214"/>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20" t="s">
        <v>773</v>
      </c>
      <c r="AX56" s="1221"/>
      <c r="AY56" s="1222"/>
      <c r="AZ56" s="481" t="s">
        <v>2086</v>
      </c>
      <c r="BA56" s="481" t="s">
        <v>2086</v>
      </c>
      <c r="BB56" s="481"/>
      <c r="BC56" s="481"/>
      <c r="BE56" s="217"/>
      <c r="BG56" s="469" t="s">
        <v>3501</v>
      </c>
      <c r="BH56" s="133"/>
      <c r="BI56" s="121" t="s">
        <v>3502</v>
      </c>
      <c r="DC56" s="5"/>
      <c r="DD56" s="5"/>
      <c r="DE56" s="5"/>
      <c r="DF56" s="5"/>
      <c r="DG56" s="5"/>
    </row>
    <row r="57" spans="2:111" ht="15" customHeight="1" x14ac:dyDescent="0.25">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3670</v>
      </c>
      <c r="L57" s="53"/>
      <c r="M57" s="6" t="s">
        <v>1128</v>
      </c>
      <c r="N57" s="682">
        <f>J48</f>
        <v>1</v>
      </c>
      <c r="O57" s="714"/>
      <c r="P57" s="488" t="s">
        <v>934</v>
      </c>
      <c r="Q57" s="686" t="s">
        <v>935</v>
      </c>
      <c r="R57" s="678"/>
      <c r="S57" s="5"/>
      <c r="T57" s="55"/>
      <c r="U57" s="131" t="s">
        <v>2074</v>
      </c>
      <c r="V57" s="147" t="s">
        <v>2075</v>
      </c>
      <c r="W57" s="148" t="s">
        <v>2076</v>
      </c>
      <c r="X57" s="1211" t="s">
        <v>2077</v>
      </c>
      <c r="Y57" s="1211" t="s">
        <v>2078</v>
      </c>
      <c r="Z57" s="1211" t="s">
        <v>2079</v>
      </c>
      <c r="AA57" s="1211" t="s">
        <v>2080</v>
      </c>
      <c r="AB57" s="1211" t="s">
        <v>2081</v>
      </c>
      <c r="AC57" s="1211" t="s">
        <v>2082</v>
      </c>
      <c r="AD57" s="1211" t="s">
        <v>2083</v>
      </c>
      <c r="AE57" s="1211" t="s">
        <v>2084</v>
      </c>
      <c r="AF57" s="128" t="s">
        <v>2085</v>
      </c>
      <c r="AG57" s="128" t="s">
        <v>2085</v>
      </c>
      <c r="AH57" s="128" t="s">
        <v>2086</v>
      </c>
      <c r="AI57" s="128" t="s">
        <v>2086</v>
      </c>
      <c r="AJ57" s="1211" t="s">
        <v>2087</v>
      </c>
      <c r="AK57" s="128" t="s">
        <v>2086</v>
      </c>
      <c r="AL57" s="1213" t="s">
        <v>2088</v>
      </c>
      <c r="AM57" s="1213" t="s">
        <v>3653</v>
      </c>
      <c r="AN57" s="1211" t="s">
        <v>2081</v>
      </c>
      <c r="AO57" s="1211" t="s">
        <v>3654</v>
      </c>
      <c r="AP57" s="1211">
        <v>0</v>
      </c>
      <c r="AQ57" s="1211" t="s">
        <v>3655</v>
      </c>
      <c r="AR57" s="1211" t="s">
        <v>3671</v>
      </c>
      <c r="AS57" s="128" t="s">
        <v>1671</v>
      </c>
      <c r="AT57" s="128" t="s">
        <v>1671</v>
      </c>
      <c r="AU57" s="128" t="s">
        <v>1671</v>
      </c>
      <c r="AV57" s="1211"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x14ac:dyDescent="0.25">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pas d'installation solaire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3656</v>
      </c>
      <c r="U58" s="131" t="s">
        <v>3657</v>
      </c>
      <c r="V58" s="147" t="s">
        <v>3658</v>
      </c>
      <c r="W58" s="149" t="s">
        <v>3659</v>
      </c>
      <c r="X58" s="1212"/>
      <c r="Y58" s="1212"/>
      <c r="Z58" s="1212"/>
      <c r="AA58" s="1212"/>
      <c r="AB58" s="1212"/>
      <c r="AC58" s="1212"/>
      <c r="AD58" s="1212"/>
      <c r="AE58" s="1212"/>
      <c r="AF58" s="150" t="s">
        <v>3660</v>
      </c>
      <c r="AG58" s="150" t="s">
        <v>3661</v>
      </c>
      <c r="AH58" s="150" t="s">
        <v>3662</v>
      </c>
      <c r="AI58" s="150" t="s">
        <v>3663</v>
      </c>
      <c r="AJ58" s="1212"/>
      <c r="AK58" s="150" t="s">
        <v>3664</v>
      </c>
      <c r="AL58" s="1212"/>
      <c r="AM58" s="1212"/>
      <c r="AN58" s="1212"/>
      <c r="AO58" s="1212"/>
      <c r="AP58" s="1212"/>
      <c r="AQ58" s="1212"/>
      <c r="AR58" s="1212"/>
      <c r="AS58" s="150" t="s">
        <v>3664</v>
      </c>
      <c r="AT58" s="150" t="s">
        <v>934</v>
      </c>
      <c r="AU58" s="150" t="s">
        <v>934</v>
      </c>
      <c r="AV58" s="1212"/>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x14ac:dyDescent="0.2">
      <c r="B59" s="100" t="str">
        <f>Sprache!B38</f>
        <v>Pertes en mode chauffage (démarrage, accumulateur, etc.)</v>
      </c>
      <c r="C59" s="103"/>
      <c r="D59" s="103"/>
      <c r="E59" s="97"/>
      <c r="F59" s="187">
        <f>IF(Heizung,Z147+AJ146+BH74,0)</f>
        <v>0</v>
      </c>
      <c r="G59" s="184" t="s">
        <v>3935</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3665</v>
      </c>
      <c r="U59" s="135"/>
      <c r="V59" s="151" t="s">
        <v>3665</v>
      </c>
      <c r="W59" s="152" t="s">
        <v>3666</v>
      </c>
      <c r="X59" s="150" t="s">
        <v>2948</v>
      </c>
      <c r="Y59" s="152" t="s">
        <v>3659</v>
      </c>
      <c r="Z59" s="152" t="s">
        <v>3650</v>
      </c>
      <c r="AA59" s="152" t="s">
        <v>3650</v>
      </c>
      <c r="AB59" s="152" t="s">
        <v>3650</v>
      </c>
      <c r="AC59" s="152" t="s">
        <v>3650</v>
      </c>
      <c r="AD59" s="153" t="s">
        <v>3665</v>
      </c>
      <c r="AE59" s="152" t="s">
        <v>3665</v>
      </c>
      <c r="AF59" s="152" t="s">
        <v>3665</v>
      </c>
      <c r="AG59" s="152" t="s">
        <v>3665</v>
      </c>
      <c r="AH59" s="152" t="s">
        <v>3665</v>
      </c>
      <c r="AI59" s="152" t="s">
        <v>3666</v>
      </c>
      <c r="AJ59" s="152" t="s">
        <v>3665</v>
      </c>
      <c r="AK59" s="152" t="s">
        <v>3665</v>
      </c>
      <c r="AL59" s="153" t="s">
        <v>3665</v>
      </c>
      <c r="AM59" s="153" t="s">
        <v>3665</v>
      </c>
      <c r="AN59" s="152" t="s">
        <v>3650</v>
      </c>
      <c r="AO59" s="152" t="s">
        <v>3665</v>
      </c>
      <c r="AP59" s="152"/>
      <c r="AQ59" s="152" t="s">
        <v>3650</v>
      </c>
      <c r="AR59" s="152" t="s">
        <v>3659</v>
      </c>
      <c r="AS59" s="152" t="s">
        <v>3666</v>
      </c>
      <c r="AT59" s="152" t="s">
        <v>3666</v>
      </c>
      <c r="AU59" s="152" t="s">
        <v>3666</v>
      </c>
      <c r="AV59" s="152" t="s">
        <v>3650</v>
      </c>
      <c r="AW59" s="474" t="s">
        <v>2948</v>
      </c>
      <c r="AX59" s="472" t="s">
        <v>2948</v>
      </c>
      <c r="AY59" s="472" t="s">
        <v>2948</v>
      </c>
      <c r="AZ59" s="474" t="s">
        <v>3650</v>
      </c>
      <c r="BA59" s="474" t="s">
        <v>3650</v>
      </c>
      <c r="BB59" s="474"/>
      <c r="BC59" s="474"/>
      <c r="BE59" s="217"/>
      <c r="BG59" s="16" t="s">
        <v>718</v>
      </c>
      <c r="BH59" s="22"/>
      <c r="DC59" s="5"/>
      <c r="DD59" s="5"/>
      <c r="DE59" s="5"/>
      <c r="DF59" s="5"/>
      <c r="DG59" s="5"/>
    </row>
    <row r="60" spans="2:111" ht="15" customHeight="1" x14ac:dyDescent="0.2">
      <c r="B60" s="100" t="str">
        <f>Sprache!B39</f>
        <v>Pertes en mode préparation d'ECS (démarrage, accumulateur, etc.)</v>
      </c>
      <c r="C60" s="103"/>
      <c r="D60" s="103"/>
      <c r="E60" s="97"/>
      <c r="F60" s="187">
        <f>IF(WW,Z141+Z148,0)</f>
        <v>0</v>
      </c>
      <c r="G60" s="184" t="s">
        <v>3937</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6"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Chauffage</v>
      </c>
      <c r="BH60" s="21"/>
      <c r="DC60" s="5"/>
      <c r="DD60" s="5"/>
      <c r="DE60" s="5"/>
      <c r="DF60" s="5"/>
      <c r="DG60" s="5"/>
    </row>
    <row r="61" spans="2:111" ht="15" customHeight="1" x14ac:dyDescent="0.2">
      <c r="B61" s="100" t="str">
        <f>Sprache!B40</f>
        <v>Durée de fonctionnement de la pompe à chaleur</v>
      </c>
      <c r="C61" s="499"/>
      <c r="D61" s="499"/>
      <c r="E61" s="167"/>
      <c r="F61" s="127"/>
      <c r="G61" s="190" t="s">
        <v>3940</v>
      </c>
      <c r="H61" s="191">
        <f ca="1">IF(J29=FALSE,"",IF(Kategorie&gt;1,MAX(0,AI128)*(24-Sperrzeit)/24,))</f>
        <v>0</v>
      </c>
      <c r="J61" s="5">
        <f>AD139</f>
        <v>1</v>
      </c>
      <c r="K61" s="707"/>
      <c r="L61" s="679"/>
      <c r="M61" s="287" t="str">
        <f>Sprache!B271&amp;IF(O107," (MINERGIE)","")</f>
        <v>Chauffage solaire de l'ECS</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6"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ECS eau chaude sanitaire</v>
      </c>
      <c r="BH61" s="21"/>
      <c r="DC61" s="5"/>
      <c r="DD61" s="5"/>
      <c r="DE61" s="5"/>
      <c r="DF61" s="5"/>
      <c r="DG61" s="5"/>
    </row>
    <row r="62" spans="2:111" ht="15" customHeight="1" x14ac:dyDescent="0.25">
      <c r="B62" s="100" t="str">
        <f>Sprache!B41</f>
        <v>Part et COP annuel de la pompe à chaleur pour le chauffage</v>
      </c>
      <c r="C62" s="103"/>
      <c r="D62" s="103"/>
      <c r="E62" s="182" t="str">
        <f>IF(AND(Heizung),"e = ","")</f>
        <v/>
      </c>
      <c r="F62" s="183" t="str">
        <f ca="1">IF(J29=FALSE,"",IF(AND(Heizung,WPArt&gt;1),INDEX(U27:AJ27,1,2*(WPArt-1))*(1-IF(HeizungSolar,H54,0)),""))</f>
        <v/>
      </c>
      <c r="G62" s="194" t="s">
        <v>3944</v>
      </c>
      <c r="H62" s="195">
        <f ca="1">IF(J29=FALSE,"",IF(Heizung,Y4,0))</f>
        <v>0</v>
      </c>
      <c r="K62" s="233">
        <f>IF(N57&gt;1,H53,0)</f>
        <v>0</v>
      </c>
      <c r="L62" s="679" t="s">
        <v>936</v>
      </c>
      <c r="M62" s="287" t="str">
        <f>Sprache!B272&amp;IF(O107," (MINERGIE)","")</f>
        <v>Eau chaude sanitaire ECS + chauffage</v>
      </c>
      <c r="N62" s="287"/>
      <c r="O62" s="716"/>
      <c r="P62" s="712">
        <f>8760*KollektorWW</f>
        <v>0</v>
      </c>
      <c r="Q62" s="21" t="s">
        <v>3666</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6"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Chauffage+ECS</v>
      </c>
      <c r="BH62" s="21"/>
      <c r="DC62" s="5"/>
      <c r="DD62" s="5"/>
      <c r="DE62" s="5"/>
      <c r="DF62" s="5"/>
      <c r="DG62" s="5"/>
    </row>
    <row r="63" spans="2:111" ht="15" customHeight="1" x14ac:dyDescent="0.25">
      <c r="B63" s="100" t="str">
        <f>Sprache!B42</f>
        <v>Part et COP annuel de la pompe à chaleur pour l'ECS</v>
      </c>
      <c r="C63" s="103"/>
      <c r="D63" s="103"/>
      <c r="E63" s="182" t="str">
        <f>IF(AND(WW),"e = ","")</f>
        <v/>
      </c>
      <c r="F63" s="183" t="str">
        <f>IF(AND(WW,WPArt&gt;1),INDEX(U35:AJ35,1,2*(WPArt-1))*(1-IF(N57&gt;1,H53,0)),"")</f>
        <v/>
      </c>
      <c r="G63" s="194" t="s">
        <v>3948</v>
      </c>
      <c r="H63" s="196">
        <f>IF(WW,AA4,0)</f>
        <v>0</v>
      </c>
      <c r="K63" s="233">
        <f>IF(HeizungSolar,H54,0)</f>
        <v>0</v>
      </c>
      <c r="L63" s="679" t="s">
        <v>937</v>
      </c>
      <c r="M63" s="287" t="str">
        <f>Sprache!B271&amp;" "&amp;Sprache!B273</f>
        <v>Chauffage solaire de l'ECS (calcul externe)</v>
      </c>
      <c r="N63" s="287"/>
      <c r="O63" s="716"/>
      <c r="P63" s="712">
        <f>8760-P62</f>
        <v>8760</v>
      </c>
      <c r="Q63" s="21" t="s">
        <v>3666</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6"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Chauffage + production d'ECS décentralisée par PAC</v>
      </c>
      <c r="BH63" s="44"/>
      <c r="DC63" s="5"/>
      <c r="DD63" s="5"/>
      <c r="DE63" s="5"/>
      <c r="DF63" s="5"/>
      <c r="DG63" s="5"/>
    </row>
    <row r="64" spans="2:111" ht="15" customHeight="1" x14ac:dyDescent="0.2">
      <c r="B64" s="100" t="str">
        <f>Sprache!B43</f>
        <v xml:space="preserve">Facteur de pondération pour le chauffage: </v>
      </c>
      <c r="C64" s="103"/>
      <c r="D64" s="103"/>
      <c r="E64" s="97"/>
      <c r="F64" s="127"/>
      <c r="G64" s="117" t="s">
        <v>721</v>
      </c>
      <c r="H64" s="197">
        <f>IF(AND(WW,Heizung),IF((Qww+Qh)&gt;0,Qh/(Qww+Qh),0),IF(Heizung,1,0))</f>
        <v>0</v>
      </c>
      <c r="K64" s="697" t="e">
        <f>IF(Qh+Qww=0,,IF(wwSolar,P58,IF(HeizungSolar,Q58,0)))</f>
        <v>#VALUE!</v>
      </c>
      <c r="L64" s="679" t="s">
        <v>1142</v>
      </c>
      <c r="M64" s="287" t="str">
        <f>Sprache!B272&amp;" "&amp;Sprache!B273</f>
        <v>Eau chaude sanitaire ECS + chauffage (calcul externe)</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6"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3927</v>
      </c>
      <c r="BH64" s="360" t="b">
        <f>IF(OR(BH58&gt;2),TRUE,FALSE)</f>
        <v>0</v>
      </c>
      <c r="DC64" s="5"/>
      <c r="DD64" s="5"/>
      <c r="DE64" s="5"/>
      <c r="DF64" s="5"/>
      <c r="DG64" s="5"/>
    </row>
    <row r="65" spans="2:111" ht="15" customHeight="1" x14ac:dyDescent="0.2">
      <c r="B65" s="100" t="str">
        <f>Sprache!B44</f>
        <v>Facteur de pondération pour l'ECS</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6"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3928</v>
      </c>
      <c r="BH65" s="75" t="b">
        <f>IF(OR(BH58=2,BH58&gt;3),TRUE,FALSE)</f>
        <v>0</v>
      </c>
      <c r="DC65" s="5"/>
      <c r="DD65" s="5"/>
      <c r="DE65" s="5"/>
      <c r="DF65" s="5"/>
      <c r="DG65" s="5"/>
    </row>
    <row r="66" spans="2:111" ht="15" customHeight="1" thickBot="1" x14ac:dyDescent="0.25">
      <c r="B66" s="205" t="str">
        <f>IF(bivalent,"",Sprache!B45)</f>
        <v>COP annuel pour chauffage et ECS (COPa [ch+ECS])</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6"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3929</v>
      </c>
      <c r="BH66" s="75" t="b">
        <f>IF(AND(Speicher,Heizung),TRUE,FALSE)</f>
        <v>0</v>
      </c>
      <c r="DC66" s="5"/>
      <c r="DD66" s="5"/>
      <c r="DE66" s="5"/>
      <c r="DF66" s="5"/>
      <c r="DG66" s="5"/>
    </row>
    <row r="67" spans="2:111" ht="15" customHeight="1" thickTop="1" x14ac:dyDescent="0.2">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6"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3930</v>
      </c>
      <c r="BH67" s="172">
        <f>J24</f>
        <v>1</v>
      </c>
      <c r="DC67" s="5"/>
      <c r="DD67" s="5"/>
      <c r="DE67" s="5"/>
      <c r="DF67" s="5"/>
      <c r="DG67" s="5"/>
    </row>
    <row r="68" spans="2:111" ht="15" hidden="1" customHeight="1" x14ac:dyDescent="0.2">
      <c r="B68" s="6" t="s">
        <v>358</v>
      </c>
      <c r="C68" s="891"/>
      <c r="D68" s="14">
        <v>0</v>
      </c>
      <c r="E68" s="6" t="s">
        <v>3622</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6"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x14ac:dyDescent="0.2">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6"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x14ac:dyDescent="0.2">
      <c r="B70" s="455" t="s">
        <v>2163</v>
      </c>
      <c r="C70" s="128" t="s">
        <v>1542</v>
      </c>
      <c r="D70" s="458" t="s">
        <v>3610</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6"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x14ac:dyDescent="0.2">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6"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x14ac:dyDescent="0.2">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6"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x14ac:dyDescent="0.2">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6"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x14ac:dyDescent="0.2">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6"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x14ac:dyDescent="0.2">
      <c r="B75" s="335" t="s">
        <v>3667</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6"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x14ac:dyDescent="0.2">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6"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3941</v>
      </c>
      <c r="BH76" s="193" t="s">
        <v>3942</v>
      </c>
      <c r="DC76" s="5"/>
      <c r="DD76" s="5"/>
      <c r="DE76" s="5"/>
    </row>
    <row r="77" spans="2:111" ht="15.6" hidden="1" customHeight="1" x14ac:dyDescent="0.2">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6"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x14ac:dyDescent="0.2">
      <c r="B78" s="335" t="s">
        <v>3932</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6"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x14ac:dyDescent="0.2">
      <c r="B79" s="335" t="s">
        <v>3933</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6"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x14ac:dyDescent="0.2">
      <c r="B80" s="335" t="s">
        <v>3938</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6"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x14ac:dyDescent="0.2">
      <c r="B81" s="335" t="s">
        <v>3945</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6"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x14ac:dyDescent="0.2">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6"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x14ac:dyDescent="0.2">
      <c r="B83" s="335" t="s">
        <v>3952</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6"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x14ac:dyDescent="0.2">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6"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x14ac:dyDescent="0.2">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6"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x14ac:dyDescent="0.2">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6"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x14ac:dyDescent="0.2">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6"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x14ac:dyDescent="0.2">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6"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x14ac:dyDescent="0.2">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6"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x14ac:dyDescent="0.2">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6"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x14ac:dyDescent="0.2">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6"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x14ac:dyDescent="0.2">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6"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x14ac:dyDescent="0.2">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6"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x14ac:dyDescent="0.2">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6"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x14ac:dyDescent="0.2">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6"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x14ac:dyDescent="0.2">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6"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x14ac:dyDescent="0.2">
      <c r="B97" s="335" t="s">
        <v>3891</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6"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x14ac:dyDescent="0.2">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6"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x14ac:dyDescent="0.2">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6"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x14ac:dyDescent="0.2">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6"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x14ac:dyDescent="0.2">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6"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x14ac:dyDescent="0.2">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6"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x14ac:dyDescent="0.2">
      <c r="B103" s="335" t="s">
        <v>3892</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6"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x14ac:dyDescent="0.2">
      <c r="B104" s="315" t="s">
        <v>3893</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6"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x14ac:dyDescent="0.2">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6"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x14ac:dyDescent="0.2">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6"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x14ac:dyDescent="0.2">
      <c r="K107" s="5"/>
      <c r="L107" s="5"/>
      <c r="M107" s="1100"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6"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x14ac:dyDescent="0.2">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6"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x14ac:dyDescent="0.2">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6"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x14ac:dyDescent="0.2">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6"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x14ac:dyDescent="0.2">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6"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x14ac:dyDescent="0.2">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6"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x14ac:dyDescent="0.2">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6"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x14ac:dyDescent="0.2">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6"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x14ac:dyDescent="0.2">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6"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x14ac:dyDescent="0.2">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6"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x14ac:dyDescent="0.2">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6"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x14ac:dyDescent="0.2">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6"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x14ac:dyDescent="0.2">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6"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x14ac:dyDescent="0.2">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6"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x14ac:dyDescent="0.2">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6"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x14ac:dyDescent="0.2">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6"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x14ac:dyDescent="0.2">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6"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x14ac:dyDescent="0.2">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6"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x14ac:dyDescent="0.2">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6"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x14ac:dyDescent="0.2">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3949</v>
      </c>
      <c r="Y126" s="1110">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x14ac:dyDescent="0.2">
      <c r="K127" s="5"/>
      <c r="L127" s="5"/>
      <c r="M127" s="5"/>
      <c r="N127" s="5"/>
      <c r="O127" s="5"/>
      <c r="P127" s="5"/>
      <c r="Q127" s="302"/>
      <c r="R127" s="5"/>
      <c r="S127" s="5"/>
      <c r="T127" s="447"/>
      <c r="U127" s="446"/>
      <c r="V127" s="448"/>
      <c r="W127" s="449" t="e">
        <f>W128-SUM(W60:W126)</f>
        <v>#VALUE!</v>
      </c>
      <c r="X127" s="439" t="s">
        <v>3950</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23" t="s">
        <v>1673</v>
      </c>
      <c r="AX127" s="1219"/>
      <c r="AY127" s="483"/>
      <c r="AZ127" s="483"/>
      <c r="BA127" s="483"/>
      <c r="BB127" s="162" t="e">
        <f t="array" aca="1" ref="BB127" ca="1">SUM(AS60:AS125*BB60:BB125)</f>
        <v>#DIV/0!</v>
      </c>
      <c r="BC127" s="486"/>
      <c r="DC127" s="5"/>
      <c r="DD127" s="5"/>
    </row>
    <row r="128" spans="11:108" ht="16.149999999999999" customHeight="1" x14ac:dyDescent="0.2">
      <c r="K128" s="5"/>
      <c r="L128" s="5"/>
      <c r="M128" s="5"/>
      <c r="N128" s="5"/>
      <c r="O128" s="5"/>
      <c r="P128" s="5"/>
      <c r="Q128" s="302"/>
      <c r="R128" s="5"/>
      <c r="S128" s="5"/>
      <c r="T128" s="199"/>
      <c r="U128" s="200">
        <f>SUM(U60:U127)</f>
        <v>1</v>
      </c>
      <c r="V128" s="201" t="e">
        <f>SUM(V60:V126)</f>
        <v>#VALUE!</v>
      </c>
      <c r="W128" s="202">
        <v>8760</v>
      </c>
      <c r="X128" s="203" t="s">
        <v>3951</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x14ac:dyDescent="0.2">
      <c r="K129" s="5"/>
      <c r="L129" s="5"/>
      <c r="M129" s="5"/>
      <c r="N129" s="5"/>
      <c r="O129" s="5"/>
      <c r="P129" s="5"/>
      <c r="Q129" s="302"/>
      <c r="R129" s="5"/>
      <c r="S129" s="5"/>
      <c r="T129" s="210" t="s">
        <v>3953</v>
      </c>
      <c r="U129" s="30"/>
      <c r="V129" s="17" t="s">
        <v>3658</v>
      </c>
      <c r="W129" s="211" t="s">
        <v>3954</v>
      </c>
      <c r="X129" s="212" t="s">
        <v>3955</v>
      </c>
      <c r="Y129" s="213" t="e">
        <f>Heizperiode*(1-Solaranteil)</f>
        <v>#VALUE!</v>
      </c>
      <c r="Z129" s="214"/>
      <c r="AA129" s="214"/>
      <c r="AB129" s="5"/>
      <c r="AC129" s="5"/>
      <c r="AD129" s="215" t="s">
        <v>3956</v>
      </c>
      <c r="AE129" s="216" t="e">
        <f ca="1">ZusatzWW+Zusatzheizung</f>
        <v>#REF!</v>
      </c>
      <c r="AF129" s="215" t="s">
        <v>3957</v>
      </c>
      <c r="AG129" s="216" t="e">
        <f ca="1">AF128+AG128</f>
        <v>#REF!</v>
      </c>
      <c r="AH129" s="5"/>
      <c r="AI129" s="5"/>
      <c r="AJ129" s="5"/>
      <c r="AK129" s="215" t="s">
        <v>3958</v>
      </c>
      <c r="AL129" s="216" t="e">
        <f ca="1">AL128</f>
        <v>#REF!</v>
      </c>
      <c r="AM129" s="125"/>
      <c r="AN129" s="125"/>
      <c r="AO129" s="125"/>
      <c r="AP129" s="125"/>
      <c r="AQ129" s="125"/>
      <c r="AW129" s="1218" t="s">
        <v>1674</v>
      </c>
      <c r="AX129" s="1219"/>
      <c r="AY129" s="483"/>
      <c r="AZ129" s="483"/>
      <c r="BA129" s="483"/>
      <c r="BB129" s="483"/>
      <c r="BC129" s="162">
        <f t="array" aca="1" ref="BC129" ca="1">SUM(AU60:AU125*BC60:BC125)</f>
        <v>0</v>
      </c>
      <c r="DC129" s="5"/>
      <c r="DD129" s="5"/>
    </row>
    <row r="130" spans="11:108" ht="16.149999999999999" customHeight="1" x14ac:dyDescent="0.2">
      <c r="K130" s="5"/>
      <c r="L130" s="5"/>
      <c r="M130" s="5"/>
      <c r="N130" s="5"/>
      <c r="O130" s="5"/>
      <c r="P130" s="5"/>
      <c r="Q130" s="302"/>
      <c r="R130" s="5"/>
      <c r="S130" s="5"/>
      <c r="T130" s="218" t="e">
        <f>1-Solaranteil</f>
        <v>#VALUE!</v>
      </c>
      <c r="U130" s="65"/>
      <c r="V130" s="219">
        <f>Qh*EBF/3.6</f>
        <v>0</v>
      </c>
      <c r="W130" s="220" t="e">
        <f>(HGT*1.065)/(20-TaMittel)*24</f>
        <v>#VALUE!</v>
      </c>
      <c r="X130" s="221" t="s">
        <v>1677</v>
      </c>
      <c r="Y130" s="1108"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18" t="s">
        <v>1675</v>
      </c>
      <c r="AX130" s="1219"/>
      <c r="AY130" s="483"/>
      <c r="AZ130" s="483"/>
      <c r="BA130" s="483"/>
      <c r="BB130" s="483"/>
      <c r="BC130" s="480" t="e">
        <f t="array" aca="1" ref="BC130" ca="1">SUM(AU60:AU125*BC60:BC125)/AU128</f>
        <v>#DIV/0!</v>
      </c>
      <c r="DC130" s="5"/>
      <c r="DD130" s="5"/>
    </row>
    <row r="131" spans="11:108" ht="16.149999999999999" customHeight="1" x14ac:dyDescent="0.2">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x14ac:dyDescent="0.2">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x14ac:dyDescent="0.2">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x14ac:dyDescent="0.2">
      <c r="K134" s="5"/>
      <c r="L134" s="5"/>
      <c r="M134" s="5"/>
      <c r="N134" s="5"/>
      <c r="O134" s="5"/>
      <c r="P134" s="5"/>
      <c r="Q134" s="302"/>
      <c r="R134" s="5"/>
      <c r="S134" s="30">
        <v>2</v>
      </c>
      <c r="T134" s="1041" t="str">
        <f>Sprache!B61&amp;" "&amp;Sprache!B264</f>
        <v>Pompe à chaleur air/eau une vitesse</v>
      </c>
      <c r="U134" s="5"/>
      <c r="V134" s="235" t="s">
        <v>1683</v>
      </c>
      <c r="W134" s="236"/>
      <c r="X134" s="236"/>
      <c r="Y134" s="236"/>
      <c r="Z134" s="237"/>
      <c r="AA134" s="5"/>
      <c r="AB134" s="5"/>
      <c r="AC134" s="19"/>
      <c r="AD134" s="238" t="str">
        <f>Sprache!B115</f>
        <v>fonctionnement chauffage monovalent</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x14ac:dyDescent="0.2">
      <c r="K135" s="5"/>
      <c r="L135" s="5"/>
      <c r="M135" s="5"/>
      <c r="N135" s="5"/>
      <c r="O135" s="5"/>
      <c r="P135" s="5"/>
      <c r="Q135" s="302"/>
      <c r="R135" s="5"/>
      <c r="S135" s="30">
        <v>2</v>
      </c>
      <c r="T135" s="1041" t="str">
        <f>Sprache!B61&amp;" "&amp;Sprache!B265</f>
        <v>Pompe à chaleur air/eau 2 vitesses</v>
      </c>
      <c r="U135" s="5"/>
      <c r="V135" s="239"/>
      <c r="W135" s="240"/>
      <c r="X135" s="240"/>
      <c r="Y135" s="240"/>
      <c r="Z135" s="241"/>
      <c r="AA135" s="5" t="s">
        <v>1685</v>
      </c>
      <c r="AB135" s="5"/>
      <c r="AC135" s="19"/>
      <c r="AD135" s="238" t="str">
        <f>Sprache!B116</f>
        <v xml:space="preserve">avec chauffage électrique de secours </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x14ac:dyDescent="0.2">
      <c r="K136" s="5"/>
      <c r="L136" s="5"/>
      <c r="M136" s="5"/>
      <c r="N136" s="5"/>
      <c r="O136" s="5"/>
      <c r="P136" s="5"/>
      <c r="Q136" s="302"/>
      <c r="R136" s="5"/>
      <c r="S136" s="30">
        <v>2</v>
      </c>
      <c r="T136" s="1041" t="str">
        <f>Sprache!B61&amp;" "&amp;Sprache!B266</f>
        <v>Pompe à chaleur air/eau Plusieurs vitesses</v>
      </c>
      <c r="U136" s="5"/>
      <c r="V136" s="20" t="s">
        <v>1750</v>
      </c>
      <c r="W136" s="5"/>
      <c r="X136" s="5"/>
      <c r="Y136" s="5"/>
      <c r="Z136" s="370">
        <v>0.02</v>
      </c>
      <c r="AA136" s="371">
        <v>0.02</v>
      </c>
      <c r="AB136" s="5"/>
      <c r="AC136" s="19"/>
      <c r="AD136" s="238" t="str">
        <f>Sprache!B117</f>
        <v>Installation bivalente fossile</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x14ac:dyDescent="0.2">
      <c r="K137" s="5"/>
      <c r="L137" s="5"/>
      <c r="M137" s="5"/>
      <c r="N137" s="5"/>
      <c r="O137" s="5"/>
      <c r="P137" s="5"/>
      <c r="Q137" s="302"/>
      <c r="R137" s="5"/>
      <c r="S137" s="30">
        <v>2</v>
      </c>
      <c r="T137" s="1041" t="str">
        <f>Sprache!B61&amp;" "&amp;Sprache!B267</f>
        <v>Pompe à chaleur air/eau vitesse variable</v>
      </c>
      <c r="U137" s="5"/>
      <c r="V137" s="367" t="s">
        <v>81</v>
      </c>
      <c r="W137" s="121"/>
      <c r="X137" s="121"/>
      <c r="Y137" s="121"/>
      <c r="Z137" s="370">
        <v>0.04</v>
      </c>
      <c r="AA137" s="371">
        <v>0.04</v>
      </c>
      <c r="AB137" s="5"/>
      <c r="AC137" s="19"/>
      <c r="AD137" s="238" t="str">
        <f>Sprache!B287</f>
        <v>Installation bivalente fossile alternative</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x14ac:dyDescent="0.2">
      <c r="K138" s="5"/>
      <c r="L138" s="5"/>
      <c r="M138" s="5"/>
      <c r="N138" s="5"/>
      <c r="O138" s="5"/>
      <c r="P138" s="5"/>
      <c r="Q138" s="302"/>
      <c r="R138" s="5"/>
      <c r="S138" s="30">
        <v>3</v>
      </c>
      <c r="T138" s="1041" t="str">
        <f>Sprache!B62&amp;" "&amp;Sprache!B264</f>
        <v>Pompe à chaleur sol/eau une vitesse</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x14ac:dyDescent="0.2">
      <c r="K139" s="5"/>
      <c r="L139" s="5"/>
      <c r="M139" s="5"/>
      <c r="N139" s="5"/>
      <c r="O139" s="5"/>
      <c r="P139" s="5"/>
      <c r="Q139" s="302"/>
      <c r="R139" s="5"/>
      <c r="S139" s="30">
        <v>3</v>
      </c>
      <c r="T139" s="1041" t="str">
        <f>Sprache!B62&amp;" "&amp;Sprache!B265</f>
        <v>Pompe à chaleur sol/eau 2 vitesses</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x14ac:dyDescent="0.2">
      <c r="K140" s="5"/>
      <c r="L140" s="5"/>
      <c r="M140" s="5"/>
      <c r="N140" s="5"/>
      <c r="O140" s="5"/>
      <c r="P140" s="5"/>
      <c r="Q140" s="302"/>
      <c r="R140" s="5"/>
      <c r="S140" s="30">
        <v>3</v>
      </c>
      <c r="T140" s="1041" t="str">
        <f>Sprache!B62&amp;" "&amp;Sprache!B266</f>
        <v>Pompe à chaleur sol/eau Plusieurs vitesses</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x14ac:dyDescent="0.2">
      <c r="K141" s="5"/>
      <c r="L141" s="5"/>
      <c r="M141" s="5"/>
      <c r="N141" s="5"/>
      <c r="O141" s="5"/>
      <c r="P141" s="5"/>
      <c r="Q141" s="302"/>
      <c r="R141" s="5"/>
      <c r="S141" s="30">
        <v>3</v>
      </c>
      <c r="T141" s="1041" t="str">
        <f>Sprache!B62&amp;" "&amp;Sprache!B267</f>
        <v>Pompe à chaleur sol/eau vitesse variable</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x14ac:dyDescent="0.2">
      <c r="K142" s="5"/>
      <c r="L142" s="5"/>
      <c r="M142" s="5"/>
      <c r="N142" s="5"/>
      <c r="O142" s="5"/>
      <c r="P142" s="5"/>
      <c r="Q142" s="302"/>
      <c r="R142" s="5"/>
      <c r="S142" s="30">
        <v>4</v>
      </c>
      <c r="T142" s="1041" t="str">
        <f>Sprache!B63&amp;" "&amp;Sprache!B264</f>
        <v>Pompe à chaleur eau/eau une vitesse</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x14ac:dyDescent="0.2">
      <c r="K143" s="5"/>
      <c r="L143" s="5"/>
      <c r="M143" s="5"/>
      <c r="N143" s="5"/>
      <c r="O143" s="5"/>
      <c r="P143" s="5"/>
      <c r="Q143" s="302"/>
      <c r="R143" s="5"/>
      <c r="S143" s="30">
        <v>4</v>
      </c>
      <c r="T143" s="1041" t="str">
        <f>Sprache!B63&amp;" "&amp;Sprache!B265</f>
        <v>Pompe à chaleur eau/eau 2 vitesses</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x14ac:dyDescent="0.2">
      <c r="K144" s="5"/>
      <c r="L144" s="5"/>
      <c r="M144" s="5"/>
      <c r="N144" s="5"/>
      <c r="O144" s="5"/>
      <c r="P144" s="5"/>
      <c r="Q144" s="302"/>
      <c r="R144" s="5"/>
      <c r="S144" s="30">
        <v>4</v>
      </c>
      <c r="T144" s="1041" t="str">
        <f>Sprache!B63&amp;" "&amp;Sprache!B266</f>
        <v>Pompe à chaleur eau/eau Plusieurs vitesses</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x14ac:dyDescent="0.2">
      <c r="K145" s="5"/>
      <c r="L145" s="5"/>
      <c r="M145" s="5"/>
      <c r="N145" s="5"/>
      <c r="O145" s="5"/>
      <c r="P145" s="5"/>
      <c r="Q145" s="302"/>
      <c r="R145" s="5"/>
      <c r="S145" s="30">
        <v>4</v>
      </c>
      <c r="T145" s="1041" t="str">
        <f>Sprache!B63&amp;" "&amp;Sprache!B267</f>
        <v>Pompe à chaleur eau/eau vitesse variable</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x14ac:dyDescent="0.2">
      <c r="K146" s="5"/>
      <c r="L146" s="5"/>
      <c r="M146" s="5"/>
      <c r="N146" s="5"/>
      <c r="O146" s="5"/>
      <c r="P146" s="5"/>
      <c r="Q146" s="302"/>
      <c r="R146" s="5"/>
      <c r="S146" s="30">
        <v>5</v>
      </c>
      <c r="T146" s="1041" t="str">
        <f>Sprache!B64&amp;" "&amp;Sprache!B264</f>
        <v>PAC avec collecteur terrestre une vitesse</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x14ac:dyDescent="0.2">
      <c r="K147" s="5"/>
      <c r="L147" s="5"/>
      <c r="M147" s="5"/>
      <c r="N147" s="5"/>
      <c r="O147" s="5"/>
      <c r="P147" s="5"/>
      <c r="Q147" s="302"/>
      <c r="R147" s="5"/>
      <c r="S147" s="30">
        <v>5</v>
      </c>
      <c r="T147" s="1041" t="str">
        <f>Sprache!B64&amp;" "&amp;Sprache!B265</f>
        <v>PAC avec collecteur terrestre 2 vitesses</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x14ac:dyDescent="0.2">
      <c r="K148" s="5"/>
      <c r="L148" s="5"/>
      <c r="M148" s="5"/>
      <c r="N148" s="5"/>
      <c r="O148" s="5"/>
      <c r="P148" s="5"/>
      <c r="Q148" s="302"/>
      <c r="R148" s="5"/>
      <c r="S148" s="30">
        <v>5</v>
      </c>
      <c r="T148" s="1041" t="str">
        <f>Sprache!B64&amp;" "&amp;Sprache!B266</f>
        <v>PAC avec collecteur terrestre Plusieurs vitesses</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x14ac:dyDescent="0.2">
      <c r="K149" s="5"/>
      <c r="L149" s="5"/>
      <c r="M149" s="5"/>
      <c r="N149" s="5"/>
      <c r="O149" s="5"/>
      <c r="P149" s="5"/>
      <c r="Q149" s="302"/>
      <c r="R149" s="5"/>
      <c r="S149" s="30">
        <v>5</v>
      </c>
      <c r="T149" s="1041" t="str">
        <f>Sprache!B64&amp;" "&amp;Sprache!B267</f>
        <v>PAC avec collecteur terrestre vitesse variable</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x14ac:dyDescent="0.25">
      <c r="K150" s="5"/>
      <c r="L150" s="5"/>
      <c r="M150" s="5"/>
      <c r="N150" s="5"/>
      <c r="O150" s="5"/>
      <c r="P150" s="5"/>
      <c r="Q150" s="302"/>
      <c r="R150" s="5"/>
      <c r="S150" s="30">
        <v>6</v>
      </c>
      <c r="T150" s="1041" t="str">
        <f>Sprache!B268</f>
        <v>PAC sur air extrait sur installation de ventilation sans récupération de chaleur</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x14ac:dyDescent="0.25">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x14ac:dyDescent="0.25">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x14ac:dyDescent="0.2">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x14ac:dyDescent="0.2">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x14ac:dyDescent="0.2">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x14ac:dyDescent="0.2">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x14ac:dyDescent="0.2">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x14ac:dyDescent="0.2">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x14ac:dyDescent="0.2">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x14ac:dyDescent="0.2">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x14ac:dyDescent="0.2">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x14ac:dyDescent="0.2">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x14ac:dyDescent="0.2">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x14ac:dyDescent="0.2">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x14ac:dyDescent="0.2">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x14ac:dyDescent="0.2">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x14ac:dyDescent="0.2">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x14ac:dyDescent="0.2">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x14ac:dyDescent="0.2">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x14ac:dyDescent="0.25">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x14ac:dyDescent="0.2">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x14ac:dyDescent="0.2">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x14ac:dyDescent="0.2">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x14ac:dyDescent="0.2">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x14ac:dyDescent="0.2">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x14ac:dyDescent="0.2">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x14ac:dyDescent="0.2">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x14ac:dyDescent="0.2">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x14ac:dyDescent="0.2">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x14ac:dyDescent="0.2">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x14ac:dyDescent="0.2">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x14ac:dyDescent="0.2">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x14ac:dyDescent="0.2">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x14ac:dyDescent="0.25">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x14ac:dyDescent="0.25">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x14ac:dyDescent="0.2">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x14ac:dyDescent="0.2">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x14ac:dyDescent="0.2">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x14ac:dyDescent="0.2">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x14ac:dyDescent="0.2">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x14ac:dyDescent="0.2">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x14ac:dyDescent="0.2">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x14ac:dyDescent="0.2">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x14ac:dyDescent="0.2">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x14ac:dyDescent="0.2">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x14ac:dyDescent="0.2">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x14ac:dyDescent="0.2">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x14ac:dyDescent="0.2">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x14ac:dyDescent="0.2">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x14ac:dyDescent="0.2">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x14ac:dyDescent="0.2">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x14ac:dyDescent="0.2">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x14ac:dyDescent="0.2">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x14ac:dyDescent="0.2">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x14ac:dyDescent="0.2">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x14ac:dyDescent="0.2">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x14ac:dyDescent="0.2">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x14ac:dyDescent="0.2">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x14ac:dyDescent="0.2">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x14ac:dyDescent="0.2">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x14ac:dyDescent="0.2">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x14ac:dyDescent="0.2">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x14ac:dyDescent="0.2">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x14ac:dyDescent="0.2">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x14ac:dyDescent="0.2">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x14ac:dyDescent="0.2">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x14ac:dyDescent="0.2">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x14ac:dyDescent="0.2">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x14ac:dyDescent="0.2">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x14ac:dyDescent="0.2">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x14ac:dyDescent="0.2">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x14ac:dyDescent="0.2">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x14ac:dyDescent="0.2">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x14ac:dyDescent="0.2">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x14ac:dyDescent="0.2">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x14ac:dyDescent="0.2">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x14ac:dyDescent="0.2">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x14ac:dyDescent="0.2">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x14ac:dyDescent="0.2">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x14ac:dyDescent="0.2">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x14ac:dyDescent="0.2">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x14ac:dyDescent="0.2">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x14ac:dyDescent="0.2">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x14ac:dyDescent="0.2">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x14ac:dyDescent="0.2">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x14ac:dyDescent="0.2">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x14ac:dyDescent="0.2">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x14ac:dyDescent="0.2">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x14ac:dyDescent="0.2">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x14ac:dyDescent="0.2">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x14ac:dyDescent="0.2">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x14ac:dyDescent="0.2">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x14ac:dyDescent="0.2">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x14ac:dyDescent="0.2">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x14ac:dyDescent="0.2">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x14ac:dyDescent="0.2">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x14ac:dyDescent="0.2">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x14ac:dyDescent="0.2">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x14ac:dyDescent="0.2">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x14ac:dyDescent="0.2">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x14ac:dyDescent="0.2">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x14ac:dyDescent="0.2">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x14ac:dyDescent="0.2">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x14ac:dyDescent="0.2">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x14ac:dyDescent="0.2">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x14ac:dyDescent="0.2">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x14ac:dyDescent="0.2">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x14ac:dyDescent="0.2">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x14ac:dyDescent="0.2">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x14ac:dyDescent="0.2">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x14ac:dyDescent="0.2">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x14ac:dyDescent="0.2">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x14ac:dyDescent="0.2">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x14ac:dyDescent="0.2">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x14ac:dyDescent="0.2">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x14ac:dyDescent="0.2">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x14ac:dyDescent="0.2">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x14ac:dyDescent="0.2">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x14ac:dyDescent="0.2">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x14ac:dyDescent="0.2">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x14ac:dyDescent="0.2">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x14ac:dyDescent="0.2">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x14ac:dyDescent="0.2">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x14ac:dyDescent="0.2">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x14ac:dyDescent="0.2">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x14ac:dyDescent="0.2">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x14ac:dyDescent="0.2">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x14ac:dyDescent="0.2">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x14ac:dyDescent="0.2">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x14ac:dyDescent="0.2">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x14ac:dyDescent="0.2">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x14ac:dyDescent="0.2">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x14ac:dyDescent="0.2">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x14ac:dyDescent="0.2">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x14ac:dyDescent="0.2">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x14ac:dyDescent="0.2">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x14ac:dyDescent="0.2">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x14ac:dyDescent="0.2">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x14ac:dyDescent="0.2">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x14ac:dyDescent="0.2">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x14ac:dyDescent="0.2">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x14ac:dyDescent="0.2">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x14ac:dyDescent="0.2">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x14ac:dyDescent="0.2">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x14ac:dyDescent="0.2">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x14ac:dyDescent="0.2">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x14ac:dyDescent="0.2">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x14ac:dyDescent="0.2">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x14ac:dyDescent="0.2">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x14ac:dyDescent="0.2">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x14ac:dyDescent="0.2">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x14ac:dyDescent="0.2">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x14ac:dyDescent="0.2">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x14ac:dyDescent="0.2">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x14ac:dyDescent="0.2">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x14ac:dyDescent="0.2">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x14ac:dyDescent="0.2">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x14ac:dyDescent="0.2">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x14ac:dyDescent="0.2">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x14ac:dyDescent="0.2">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x14ac:dyDescent="0.2">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x14ac:dyDescent="0.2">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x14ac:dyDescent="0.2">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x14ac:dyDescent="0.2">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x14ac:dyDescent="0.2">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x14ac:dyDescent="0.2">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x14ac:dyDescent="0.2">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x14ac:dyDescent="0.2">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x14ac:dyDescent="0.2">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x14ac:dyDescent="0.2">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x14ac:dyDescent="0.2">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x14ac:dyDescent="0.2">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x14ac:dyDescent="0.2">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x14ac:dyDescent="0.2">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x14ac:dyDescent="0.2">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x14ac:dyDescent="0.2">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x14ac:dyDescent="0.2">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x14ac:dyDescent="0.2">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x14ac:dyDescent="0.2">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x14ac:dyDescent="0.2">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x14ac:dyDescent="0.2">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x14ac:dyDescent="0.2">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x14ac:dyDescent="0.2">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x14ac:dyDescent="0.2">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x14ac:dyDescent="0.2">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x14ac:dyDescent="0.2">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x14ac:dyDescent="0.2">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x14ac:dyDescent="0.2">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x14ac:dyDescent="0.2">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x14ac:dyDescent="0.2">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x14ac:dyDescent="0.2">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x14ac:dyDescent="0.2">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x14ac:dyDescent="0.2">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x14ac:dyDescent="0.2">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x14ac:dyDescent="0.2">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x14ac:dyDescent="0.2">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x14ac:dyDescent="0.2">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x14ac:dyDescent="0.2">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x14ac:dyDescent="0.2">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x14ac:dyDescent="0.2">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x14ac:dyDescent="0.2">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x14ac:dyDescent="0.2">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x14ac:dyDescent="0.2">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x14ac:dyDescent="0.2">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x14ac:dyDescent="0.2">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x14ac:dyDescent="0.2">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x14ac:dyDescent="0.2">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x14ac:dyDescent="0.2">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x14ac:dyDescent="0.2">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x14ac:dyDescent="0.2">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x14ac:dyDescent="0.2">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x14ac:dyDescent="0.2">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x14ac:dyDescent="0.2">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x14ac:dyDescent="0.2">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x14ac:dyDescent="0.2">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x14ac:dyDescent="0.2">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x14ac:dyDescent="0.2">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x14ac:dyDescent="0.2">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x14ac:dyDescent="0.2">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x14ac:dyDescent="0.2">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x14ac:dyDescent="0.2">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x14ac:dyDescent="0.2">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x14ac:dyDescent="0.2">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x14ac:dyDescent="0.2">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x14ac:dyDescent="0.2">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x14ac:dyDescent="0.2">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x14ac:dyDescent="0.2">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x14ac:dyDescent="0.2">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x14ac:dyDescent="0.2">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x14ac:dyDescent="0.2">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x14ac:dyDescent="0.2">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x14ac:dyDescent="0.2">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x14ac:dyDescent="0.2">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x14ac:dyDescent="0.2">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x14ac:dyDescent="0.2">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x14ac:dyDescent="0.2">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x14ac:dyDescent="0.2">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x14ac:dyDescent="0.2">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x14ac:dyDescent="0.2">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x14ac:dyDescent="0.2">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x14ac:dyDescent="0.2">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x14ac:dyDescent="0.2">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x14ac:dyDescent="0.2">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x14ac:dyDescent="0.2">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x14ac:dyDescent="0.2">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x14ac:dyDescent="0.2">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x14ac:dyDescent="0.2">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x14ac:dyDescent="0.2">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x14ac:dyDescent="0.2">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x14ac:dyDescent="0.2">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x14ac:dyDescent="0.2">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x14ac:dyDescent="0.2">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x14ac:dyDescent="0.2">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x14ac:dyDescent="0.2">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x14ac:dyDescent="0.2">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x14ac:dyDescent="0.2">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x14ac:dyDescent="0.2">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x14ac:dyDescent="0.2">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x14ac:dyDescent="0.2">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x14ac:dyDescent="0.2">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x14ac:dyDescent="0.2">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x14ac:dyDescent="0.2">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x14ac:dyDescent="0.2">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x14ac:dyDescent="0.2">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x14ac:dyDescent="0.2">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x14ac:dyDescent="0.2">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x14ac:dyDescent="0.2">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x14ac:dyDescent="0.2">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x14ac:dyDescent="0.2">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x14ac:dyDescent="0.2">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x14ac:dyDescent="0.2">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x14ac:dyDescent="0.2">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x14ac:dyDescent="0.2">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x14ac:dyDescent="0.2">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x14ac:dyDescent="0.2">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x14ac:dyDescent="0.2">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x14ac:dyDescent="0.2">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x14ac:dyDescent="0.2">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x14ac:dyDescent="0.2">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x14ac:dyDescent="0.2">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x14ac:dyDescent="0.2">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x14ac:dyDescent="0.2">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x14ac:dyDescent="0.2">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x14ac:dyDescent="0.2">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x14ac:dyDescent="0.2">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x14ac:dyDescent="0.2">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x14ac:dyDescent="0.2">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x14ac:dyDescent="0.2">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x14ac:dyDescent="0.2">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x14ac:dyDescent="0.2">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x14ac:dyDescent="0.2">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x14ac:dyDescent="0.2">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x14ac:dyDescent="0.2">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x14ac:dyDescent="0.2">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x14ac:dyDescent="0.2">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x14ac:dyDescent="0.2">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x14ac:dyDescent="0.2">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x14ac:dyDescent="0.2">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x14ac:dyDescent="0.2">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x14ac:dyDescent="0.2">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x14ac:dyDescent="0.2">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x14ac:dyDescent="0.2">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x14ac:dyDescent="0.2">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x14ac:dyDescent="0.2">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x14ac:dyDescent="0.2">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x14ac:dyDescent="0.2">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x14ac:dyDescent="0.2">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x14ac:dyDescent="0.2">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x14ac:dyDescent="0.2">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x14ac:dyDescent="0.2">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x14ac:dyDescent="0.2">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x14ac:dyDescent="0.2">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x14ac:dyDescent="0.2">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x14ac:dyDescent="0.2">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x14ac:dyDescent="0.2">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x14ac:dyDescent="0.2">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x14ac:dyDescent="0.2">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x14ac:dyDescent="0.2">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x14ac:dyDescent="0.2">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x14ac:dyDescent="0.2">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x14ac:dyDescent="0.2">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x14ac:dyDescent="0.2">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x14ac:dyDescent="0.2">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x14ac:dyDescent="0.2">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x14ac:dyDescent="0.2">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x14ac:dyDescent="0.2">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x14ac:dyDescent="0.2">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x14ac:dyDescent="0.2">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x14ac:dyDescent="0.2">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x14ac:dyDescent="0.2">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x14ac:dyDescent="0.2">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x14ac:dyDescent="0.2">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x14ac:dyDescent="0.2">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x14ac:dyDescent="0.2">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x14ac:dyDescent="0.2">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x14ac:dyDescent="0.2">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x14ac:dyDescent="0.2">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x14ac:dyDescent="0.2">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x14ac:dyDescent="0.2">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x14ac:dyDescent="0.2">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x14ac:dyDescent="0.2">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x14ac:dyDescent="0.2">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x14ac:dyDescent="0.2">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x14ac:dyDescent="0.2">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x14ac:dyDescent="0.2">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x14ac:dyDescent="0.2">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x14ac:dyDescent="0.2">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x14ac:dyDescent="0.2">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x14ac:dyDescent="0.2">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x14ac:dyDescent="0.2">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x14ac:dyDescent="0.2">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x14ac:dyDescent="0.2">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x14ac:dyDescent="0.2">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x14ac:dyDescent="0.2">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x14ac:dyDescent="0.2">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x14ac:dyDescent="0.2">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x14ac:dyDescent="0.2">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x14ac:dyDescent="0.2">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x14ac:dyDescent="0.2">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x14ac:dyDescent="0.2">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x14ac:dyDescent="0.2">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x14ac:dyDescent="0.2">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x14ac:dyDescent="0.2">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x14ac:dyDescent="0.2">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x14ac:dyDescent="0.2">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x14ac:dyDescent="0.2">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x14ac:dyDescent="0.2">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x14ac:dyDescent="0.2">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x14ac:dyDescent="0.2">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x14ac:dyDescent="0.2">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x14ac:dyDescent="0.2">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x14ac:dyDescent="0.2">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x14ac:dyDescent="0.2">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x14ac:dyDescent="0.2">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x14ac:dyDescent="0.2">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x14ac:dyDescent="0.2">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x14ac:dyDescent="0.2">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x14ac:dyDescent="0.2">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x14ac:dyDescent="0.2">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x14ac:dyDescent="0.2">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x14ac:dyDescent="0.2">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x14ac:dyDescent="0.2">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x14ac:dyDescent="0.2">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x14ac:dyDescent="0.2">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x14ac:dyDescent="0.2">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x14ac:dyDescent="0.2">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x14ac:dyDescent="0.2">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x14ac:dyDescent="0.2">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x14ac:dyDescent="0.2">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x14ac:dyDescent="0.2">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x14ac:dyDescent="0.2">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x14ac:dyDescent="0.2">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x14ac:dyDescent="0.2">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x14ac:dyDescent="0.2">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x14ac:dyDescent="0.2">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x14ac:dyDescent="0.2">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x14ac:dyDescent="0.2">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x14ac:dyDescent="0.2">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x14ac:dyDescent="0.2">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x14ac:dyDescent="0.2">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x14ac:dyDescent="0.2">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x14ac:dyDescent="0.2">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x14ac:dyDescent="0.2">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x14ac:dyDescent="0.2">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x14ac:dyDescent="0.2">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x14ac:dyDescent="0.2">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x14ac:dyDescent="0.2">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x14ac:dyDescent="0.2">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x14ac:dyDescent="0.2">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x14ac:dyDescent="0.2">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x14ac:dyDescent="0.2">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x14ac:dyDescent="0.2">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x14ac:dyDescent="0.2">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x14ac:dyDescent="0.2">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x14ac:dyDescent="0.2">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x14ac:dyDescent="0.2">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x14ac:dyDescent="0.2">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x14ac:dyDescent="0.2">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x14ac:dyDescent="0.2">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x14ac:dyDescent="0.2">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x14ac:dyDescent="0.2">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x14ac:dyDescent="0.2">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x14ac:dyDescent="0.2">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x14ac:dyDescent="0.2">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x14ac:dyDescent="0.2">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x14ac:dyDescent="0.2">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x14ac:dyDescent="0.2">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x14ac:dyDescent="0.2">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x14ac:dyDescent="0.2">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x14ac:dyDescent="0.2">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x14ac:dyDescent="0.2">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x14ac:dyDescent="0.2">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x14ac:dyDescent="0.2">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x14ac:dyDescent="0.2">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x14ac:dyDescent="0.2">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x14ac:dyDescent="0.2">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x14ac:dyDescent="0.2">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x14ac:dyDescent="0.2">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x14ac:dyDescent="0.2">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x14ac:dyDescent="0.2">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x14ac:dyDescent="0.2">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x14ac:dyDescent="0.2">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x14ac:dyDescent="0.2">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x14ac:dyDescent="0.2">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x14ac:dyDescent="0.2">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x14ac:dyDescent="0.2">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x14ac:dyDescent="0.2">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x14ac:dyDescent="0.2">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x14ac:dyDescent="0.2">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x14ac:dyDescent="0.2">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x14ac:dyDescent="0.2">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x14ac:dyDescent="0.2">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x14ac:dyDescent="0.2">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x14ac:dyDescent="0.2">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x14ac:dyDescent="0.2">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x14ac:dyDescent="0.2">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x14ac:dyDescent="0.2">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x14ac:dyDescent="0.2">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x14ac:dyDescent="0.2">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x14ac:dyDescent="0.2">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x14ac:dyDescent="0.2">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x14ac:dyDescent="0.2">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x14ac:dyDescent="0.2">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x14ac:dyDescent="0.2">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x14ac:dyDescent="0.2">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x14ac:dyDescent="0.2">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x14ac:dyDescent="0.2">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x14ac:dyDescent="0.2">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x14ac:dyDescent="0.2">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x14ac:dyDescent="0.2">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x14ac:dyDescent="0.2">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x14ac:dyDescent="0.2">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x14ac:dyDescent="0.2">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x14ac:dyDescent="0.2">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x14ac:dyDescent="0.2">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x14ac:dyDescent="0.2">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x14ac:dyDescent="0.2">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x14ac:dyDescent="0.2">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x14ac:dyDescent="0.2">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x14ac:dyDescent="0.2">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x14ac:dyDescent="0.2">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x14ac:dyDescent="0.2">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x14ac:dyDescent="0.2">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x14ac:dyDescent="0.2">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x14ac:dyDescent="0.2">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x14ac:dyDescent="0.2">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x14ac:dyDescent="0.2">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x14ac:dyDescent="0.2">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x14ac:dyDescent="0.2">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x14ac:dyDescent="0.2">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x14ac:dyDescent="0.2">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x14ac:dyDescent="0.2">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x14ac:dyDescent="0.2">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x14ac:dyDescent="0.2">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x14ac:dyDescent="0.2">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x14ac:dyDescent="0.2">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x14ac:dyDescent="0.2">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x14ac:dyDescent="0.2">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x14ac:dyDescent="0.2">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x14ac:dyDescent="0.2">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x14ac:dyDescent="0.2">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x14ac:dyDescent="0.2">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x14ac:dyDescent="0.2">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x14ac:dyDescent="0.2">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x14ac:dyDescent="0.2">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x14ac:dyDescent="0.2">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x14ac:dyDescent="0.2">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x14ac:dyDescent="0.2">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x14ac:dyDescent="0.2">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x14ac:dyDescent="0.2">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x14ac:dyDescent="0.2">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x14ac:dyDescent="0.2">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x14ac:dyDescent="0.2">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x14ac:dyDescent="0.2">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x14ac:dyDescent="0.2">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x14ac:dyDescent="0.2">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x14ac:dyDescent="0.2">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x14ac:dyDescent="0.2">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x14ac:dyDescent="0.2">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x14ac:dyDescent="0.2">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x14ac:dyDescent="0.2">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x14ac:dyDescent="0.2">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x14ac:dyDescent="0.2">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x14ac:dyDescent="0.2">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x14ac:dyDescent="0.2">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x14ac:dyDescent="0.2">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x14ac:dyDescent="0.2">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x14ac:dyDescent="0.2">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x14ac:dyDescent="0.2">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x14ac:dyDescent="0.2">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x14ac:dyDescent="0.2">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x14ac:dyDescent="0.2">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x14ac:dyDescent="0.2">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x14ac:dyDescent="0.2">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x14ac:dyDescent="0.2">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x14ac:dyDescent="0.2">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x14ac:dyDescent="0.2">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x14ac:dyDescent="0.2">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x14ac:dyDescent="0.2">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x14ac:dyDescent="0.2">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x14ac:dyDescent="0.2">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x14ac:dyDescent="0.2">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x14ac:dyDescent="0.2">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x14ac:dyDescent="0.2">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x14ac:dyDescent="0.2">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x14ac:dyDescent="0.2">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x14ac:dyDescent="0.2">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x14ac:dyDescent="0.2">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x14ac:dyDescent="0.2">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x14ac:dyDescent="0.2">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x14ac:dyDescent="0.2">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x14ac:dyDescent="0.2">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x14ac:dyDescent="0.2">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x14ac:dyDescent="0.2">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x14ac:dyDescent="0.2">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x14ac:dyDescent="0.2">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x14ac:dyDescent="0.2">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x14ac:dyDescent="0.2">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x14ac:dyDescent="0.2">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x14ac:dyDescent="0.2">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x14ac:dyDescent="0.2">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x14ac:dyDescent="0.2">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x14ac:dyDescent="0.2">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x14ac:dyDescent="0.2">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x14ac:dyDescent="0.2">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x14ac:dyDescent="0.2">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x14ac:dyDescent="0.2">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x14ac:dyDescent="0.2">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x14ac:dyDescent="0.2">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x14ac:dyDescent="0.2">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x14ac:dyDescent="0.2">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x14ac:dyDescent="0.2">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x14ac:dyDescent="0.2">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x14ac:dyDescent="0.2">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x14ac:dyDescent="0.2">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x14ac:dyDescent="0.2">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x14ac:dyDescent="0.2">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x14ac:dyDescent="0.2">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x14ac:dyDescent="0.2">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x14ac:dyDescent="0.2">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x14ac:dyDescent="0.2">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x14ac:dyDescent="0.2">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x14ac:dyDescent="0.2">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x14ac:dyDescent="0.2">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x14ac:dyDescent="0.2">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x14ac:dyDescent="0.2">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x14ac:dyDescent="0.2">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x14ac:dyDescent="0.2">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x14ac:dyDescent="0.2">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x14ac:dyDescent="0.2">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x14ac:dyDescent="0.2">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x14ac:dyDescent="0.2">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x14ac:dyDescent="0.2">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x14ac:dyDescent="0.2">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x14ac:dyDescent="0.2">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x14ac:dyDescent="0.2">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x14ac:dyDescent="0.2">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x14ac:dyDescent="0.2">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x14ac:dyDescent="0.2">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x14ac:dyDescent="0.2">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x14ac:dyDescent="0.2">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x14ac:dyDescent="0.2">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x14ac:dyDescent="0.2">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x14ac:dyDescent="0.2">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x14ac:dyDescent="0.2">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x14ac:dyDescent="0.2">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x14ac:dyDescent="0.2">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x14ac:dyDescent="0.2">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x14ac:dyDescent="0.2">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x14ac:dyDescent="0.2">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x14ac:dyDescent="0.2">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x14ac:dyDescent="0.2">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x14ac:dyDescent="0.2">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x14ac:dyDescent="0.2">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x14ac:dyDescent="0.2">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x14ac:dyDescent="0.2">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x14ac:dyDescent="0.2">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x14ac:dyDescent="0.2">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x14ac:dyDescent="0.2">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x14ac:dyDescent="0.2">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x14ac:dyDescent="0.2">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x14ac:dyDescent="0.2">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x14ac:dyDescent="0.2">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x14ac:dyDescent="0.2">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x14ac:dyDescent="0.2">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x14ac:dyDescent="0.2">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x14ac:dyDescent="0.2">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x14ac:dyDescent="0.2">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x14ac:dyDescent="0.2">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x14ac:dyDescent="0.2">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x14ac:dyDescent="0.2">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x14ac:dyDescent="0.2">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x14ac:dyDescent="0.2">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x14ac:dyDescent="0.2">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x14ac:dyDescent="0.2">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x14ac:dyDescent="0.2">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x14ac:dyDescent="0.2">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x14ac:dyDescent="0.2">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x14ac:dyDescent="0.2">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x14ac:dyDescent="0.2">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x14ac:dyDescent="0.2">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x14ac:dyDescent="0.2">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x14ac:dyDescent="0.2">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x14ac:dyDescent="0.2">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x14ac:dyDescent="0.2">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x14ac:dyDescent="0.2">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x14ac:dyDescent="0.2">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x14ac:dyDescent="0.2">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x14ac:dyDescent="0.2">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x14ac:dyDescent="0.2">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x14ac:dyDescent="0.2">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x14ac:dyDescent="0.2">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x14ac:dyDescent="0.2">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x14ac:dyDescent="0.2">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x14ac:dyDescent="0.2">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x14ac:dyDescent="0.2">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x14ac:dyDescent="0.2">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x14ac:dyDescent="0.2">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x14ac:dyDescent="0.2">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x14ac:dyDescent="0.2">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x14ac:dyDescent="0.2">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x14ac:dyDescent="0.2">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x14ac:dyDescent="0.2">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x14ac:dyDescent="0.2">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x14ac:dyDescent="0.2">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x14ac:dyDescent="0.2">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x14ac:dyDescent="0.2">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x14ac:dyDescent="0.2">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x14ac:dyDescent="0.2">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x14ac:dyDescent="0.2">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x14ac:dyDescent="0.2">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x14ac:dyDescent="0.2">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x14ac:dyDescent="0.2">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x14ac:dyDescent="0.2">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x14ac:dyDescent="0.2">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x14ac:dyDescent="0.2">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x14ac:dyDescent="0.2">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x14ac:dyDescent="0.2">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x14ac:dyDescent="0.2">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x14ac:dyDescent="0.2">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x14ac:dyDescent="0.2">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x14ac:dyDescent="0.2">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x14ac:dyDescent="0.2">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x14ac:dyDescent="0.2">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x14ac:dyDescent="0.2">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x14ac:dyDescent="0.2">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x14ac:dyDescent="0.2">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x14ac:dyDescent="0.2">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x14ac:dyDescent="0.2">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x14ac:dyDescent="0.2">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x14ac:dyDescent="0.2">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x14ac:dyDescent="0.2">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x14ac:dyDescent="0.2">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x14ac:dyDescent="0.2">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x14ac:dyDescent="0.2">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x14ac:dyDescent="0.2">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x14ac:dyDescent="0.2">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x14ac:dyDescent="0.2">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x14ac:dyDescent="0.2">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x14ac:dyDescent="0.2">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x14ac:dyDescent="0.2">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x14ac:dyDescent="0.2">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x14ac:dyDescent="0.2">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x14ac:dyDescent="0.2">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x14ac:dyDescent="0.2">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x14ac:dyDescent="0.2">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x14ac:dyDescent="0.2">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x14ac:dyDescent="0.2">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x14ac:dyDescent="0.2">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x14ac:dyDescent="0.2">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x14ac:dyDescent="0.2">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x14ac:dyDescent="0.2">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x14ac:dyDescent="0.2">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x14ac:dyDescent="0.2">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x14ac:dyDescent="0.2">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x14ac:dyDescent="0.2">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x14ac:dyDescent="0.2">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x14ac:dyDescent="0.2">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x14ac:dyDescent="0.2">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x14ac:dyDescent="0.2">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x14ac:dyDescent="0.2">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x14ac:dyDescent="0.2">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x14ac:dyDescent="0.2">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x14ac:dyDescent="0.2">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x14ac:dyDescent="0.2">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x14ac:dyDescent="0.2">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x14ac:dyDescent="0.2">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x14ac:dyDescent="0.2">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x14ac:dyDescent="0.2">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x14ac:dyDescent="0.2">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x14ac:dyDescent="0.2">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x14ac:dyDescent="0.2">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x14ac:dyDescent="0.2">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x14ac:dyDescent="0.2">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x14ac:dyDescent="0.2">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x14ac:dyDescent="0.2">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x14ac:dyDescent="0.2">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x14ac:dyDescent="0.2">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x14ac:dyDescent="0.2">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x14ac:dyDescent="0.2">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x14ac:dyDescent="0.2">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x14ac:dyDescent="0.2">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x14ac:dyDescent="0.2">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x14ac:dyDescent="0.2">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x14ac:dyDescent="0.2">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x14ac:dyDescent="0.2">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x14ac:dyDescent="0.2">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x14ac:dyDescent="0.2">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x14ac:dyDescent="0.2">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x14ac:dyDescent="0.2">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x14ac:dyDescent="0.2">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x14ac:dyDescent="0.2">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x14ac:dyDescent="0.2">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x14ac:dyDescent="0.2">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x14ac:dyDescent="0.2">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x14ac:dyDescent="0.2">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x14ac:dyDescent="0.2">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x14ac:dyDescent="0.2">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x14ac:dyDescent="0.2">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x14ac:dyDescent="0.2">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x14ac:dyDescent="0.2">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x14ac:dyDescent="0.2">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x14ac:dyDescent="0.2">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x14ac:dyDescent="0.2">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x14ac:dyDescent="0.2">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x14ac:dyDescent="0.2">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x14ac:dyDescent="0.2">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x14ac:dyDescent="0.2">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x14ac:dyDescent="0.2">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x14ac:dyDescent="0.2">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x14ac:dyDescent="0.2">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x14ac:dyDescent="0.2">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x14ac:dyDescent="0.2">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x14ac:dyDescent="0.2">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x14ac:dyDescent="0.2">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x14ac:dyDescent="0.2">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x14ac:dyDescent="0.2">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x14ac:dyDescent="0.2">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x14ac:dyDescent="0.2">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x14ac:dyDescent="0.2">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x14ac:dyDescent="0.2">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x14ac:dyDescent="0.2">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x14ac:dyDescent="0.2">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x14ac:dyDescent="0.2">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x14ac:dyDescent="0.2">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x14ac:dyDescent="0.2">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x14ac:dyDescent="0.2">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x14ac:dyDescent="0.2">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x14ac:dyDescent="0.2">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x14ac:dyDescent="0.2">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x14ac:dyDescent="0.2">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x14ac:dyDescent="0.2">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x14ac:dyDescent="0.2">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x14ac:dyDescent="0.2">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x14ac:dyDescent="0.2">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x14ac:dyDescent="0.2">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x14ac:dyDescent="0.2">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x14ac:dyDescent="0.2">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x14ac:dyDescent="0.2">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x14ac:dyDescent="0.2">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x14ac:dyDescent="0.2">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x14ac:dyDescent="0.2">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x14ac:dyDescent="0.2">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x14ac:dyDescent="0.2">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x14ac:dyDescent="0.2">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x14ac:dyDescent="0.2">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x14ac:dyDescent="0.2">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x14ac:dyDescent="0.2">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x14ac:dyDescent="0.2">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x14ac:dyDescent="0.2">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x14ac:dyDescent="0.2">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x14ac:dyDescent="0.2">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x14ac:dyDescent="0.2">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x14ac:dyDescent="0.2">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x14ac:dyDescent="0.2">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x14ac:dyDescent="0.2">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x14ac:dyDescent="0.2">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x14ac:dyDescent="0.2">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x14ac:dyDescent="0.2">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x14ac:dyDescent="0.2">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x14ac:dyDescent="0.2">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x14ac:dyDescent="0.2">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x14ac:dyDescent="0.2">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x14ac:dyDescent="0.2">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x14ac:dyDescent="0.2">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x14ac:dyDescent="0.2">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x14ac:dyDescent="0.2">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x14ac:dyDescent="0.2">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x14ac:dyDescent="0.2">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x14ac:dyDescent="0.2">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x14ac:dyDescent="0.2">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x14ac:dyDescent="0.2">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x14ac:dyDescent="0.2">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x14ac:dyDescent="0.2">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x14ac:dyDescent="0.2">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x14ac:dyDescent="0.2">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x14ac:dyDescent="0.2">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x14ac:dyDescent="0.2">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x14ac:dyDescent="0.2">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x14ac:dyDescent="0.2">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x14ac:dyDescent="0.2">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x14ac:dyDescent="0.2">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x14ac:dyDescent="0.2">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x14ac:dyDescent="0.2">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x14ac:dyDescent="0.2">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x14ac:dyDescent="0.2">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x14ac:dyDescent="0.2">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x14ac:dyDescent="0.2">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x14ac:dyDescent="0.2">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x14ac:dyDescent="0.2">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x14ac:dyDescent="0.2">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x14ac:dyDescent="0.2">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x14ac:dyDescent="0.2">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x14ac:dyDescent="0.2">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x14ac:dyDescent="0.2">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x14ac:dyDescent="0.2">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x14ac:dyDescent="0.2">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x14ac:dyDescent="0.2">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x14ac:dyDescent="0.2">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x14ac:dyDescent="0.2">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x14ac:dyDescent="0.2">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x14ac:dyDescent="0.2">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x14ac:dyDescent="0.2">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x14ac:dyDescent="0.2">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x14ac:dyDescent="0.2">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x14ac:dyDescent="0.2">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x14ac:dyDescent="0.2">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x14ac:dyDescent="0.2">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x14ac:dyDescent="0.2">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x14ac:dyDescent="0.2">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x14ac:dyDescent="0.2">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x14ac:dyDescent="0.2">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x14ac:dyDescent="0.2">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x14ac:dyDescent="0.2">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x14ac:dyDescent="0.2">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x14ac:dyDescent="0.2">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x14ac:dyDescent="0.2">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x14ac:dyDescent="0.2">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x14ac:dyDescent="0.2">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x14ac:dyDescent="0.2">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x14ac:dyDescent="0.2">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x14ac:dyDescent="0.2">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x14ac:dyDescent="0.2">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x14ac:dyDescent="0.2">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x14ac:dyDescent="0.2">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x14ac:dyDescent="0.2">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x14ac:dyDescent="0.2">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x14ac:dyDescent="0.2">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x14ac:dyDescent="0.2">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x14ac:dyDescent="0.2">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x14ac:dyDescent="0.2">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x14ac:dyDescent="0.2">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x14ac:dyDescent="0.2">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x14ac:dyDescent="0.2">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x14ac:dyDescent="0.2">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x14ac:dyDescent="0.2">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x14ac:dyDescent="0.2">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x14ac:dyDescent="0.2">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x14ac:dyDescent="0.2">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x14ac:dyDescent="0.2">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x14ac:dyDescent="0.2">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x14ac:dyDescent="0.2">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x14ac:dyDescent="0.2">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x14ac:dyDescent="0.2">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x14ac:dyDescent="0.2">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x14ac:dyDescent="0.2">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x14ac:dyDescent="0.2">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x14ac:dyDescent="0.2">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x14ac:dyDescent="0.2">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x14ac:dyDescent="0.2">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x14ac:dyDescent="0.2">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x14ac:dyDescent="0.2">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x14ac:dyDescent="0.2">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x14ac:dyDescent="0.2">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x14ac:dyDescent="0.2">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x14ac:dyDescent="0.2">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x14ac:dyDescent="0.2">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x14ac:dyDescent="0.2">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x14ac:dyDescent="0.2">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x14ac:dyDescent="0.2">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x14ac:dyDescent="0.2">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x14ac:dyDescent="0.2">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x14ac:dyDescent="0.2">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x14ac:dyDescent="0.2">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x14ac:dyDescent="0.2">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x14ac:dyDescent="0.2">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x14ac:dyDescent="0.2">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x14ac:dyDescent="0.2">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x14ac:dyDescent="0.2">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x14ac:dyDescent="0.2">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x14ac:dyDescent="0.2">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x14ac:dyDescent="0.2">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x14ac:dyDescent="0.2">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x14ac:dyDescent="0.2">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x14ac:dyDescent="0.2">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x14ac:dyDescent="0.2">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x14ac:dyDescent="0.2">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x14ac:dyDescent="0.2">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x14ac:dyDescent="0.2">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x14ac:dyDescent="0.2">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x14ac:dyDescent="0.2">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x14ac:dyDescent="0.2">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x14ac:dyDescent="0.2">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x14ac:dyDescent="0.2">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x14ac:dyDescent="0.2">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x14ac:dyDescent="0.2">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x14ac:dyDescent="0.2">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x14ac:dyDescent="0.2">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x14ac:dyDescent="0.2">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x14ac:dyDescent="0.2">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x14ac:dyDescent="0.2">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x14ac:dyDescent="0.2">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x14ac:dyDescent="0.2">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x14ac:dyDescent="0.2">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x14ac:dyDescent="0.2">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x14ac:dyDescent="0.2">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x14ac:dyDescent="0.2">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x14ac:dyDescent="0.2">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x14ac:dyDescent="0.2">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x14ac:dyDescent="0.2">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x14ac:dyDescent="0.2">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x14ac:dyDescent="0.2">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x14ac:dyDescent="0.2">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x14ac:dyDescent="0.2">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x14ac:dyDescent="0.2">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x14ac:dyDescent="0.2">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x14ac:dyDescent="0.2">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x14ac:dyDescent="0.2">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x14ac:dyDescent="0.2">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x14ac:dyDescent="0.2">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x14ac:dyDescent="0.2">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x14ac:dyDescent="0.2">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x14ac:dyDescent="0.2">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x14ac:dyDescent="0.2">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x14ac:dyDescent="0.2">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x14ac:dyDescent="0.2">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x14ac:dyDescent="0.2">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x14ac:dyDescent="0.2">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x14ac:dyDescent="0.2">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x14ac:dyDescent="0.2">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x14ac:dyDescent="0.2">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x14ac:dyDescent="0.2">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x14ac:dyDescent="0.2">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x14ac:dyDescent="0.2">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x14ac:dyDescent="0.2">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x14ac:dyDescent="0.2">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x14ac:dyDescent="0.2">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x14ac:dyDescent="0.2">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x14ac:dyDescent="0.2">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x14ac:dyDescent="0.2">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AA30:AB30"/>
    <mergeCell ref="AE30:AF30"/>
    <mergeCell ref="AC30:AD30"/>
    <mergeCell ref="Y30:Z30"/>
    <mergeCell ref="F24:H24"/>
    <mergeCell ref="F22:H22"/>
    <mergeCell ref="F23:H23"/>
    <mergeCell ref="F48:H48"/>
    <mergeCell ref="F40:H40"/>
    <mergeCell ref="W30:X30"/>
    <mergeCell ref="U30:V30"/>
    <mergeCell ref="F20:H20"/>
    <mergeCell ref="F21:H21"/>
    <mergeCell ref="C18:D18"/>
    <mergeCell ref="G18:H18"/>
    <mergeCell ref="AG16:AH16"/>
    <mergeCell ref="Y16:Z16"/>
    <mergeCell ref="AA16:AB16"/>
    <mergeCell ref="U16:V16"/>
    <mergeCell ref="W16:X16"/>
    <mergeCell ref="AE16:AF16"/>
    <mergeCell ref="G19:H19"/>
    <mergeCell ref="B3:H3"/>
    <mergeCell ref="Q14:S14"/>
    <mergeCell ref="T3:U3"/>
    <mergeCell ref="G2:H2"/>
    <mergeCell ref="M3:N3"/>
    <mergeCell ref="T4:V4"/>
    <mergeCell ref="AI15:AJ15"/>
    <mergeCell ref="AE15:AF15"/>
    <mergeCell ref="AG15:AH15"/>
    <mergeCell ref="AC15:AD15"/>
    <mergeCell ref="U15:V15"/>
    <mergeCell ref="W15:X15"/>
    <mergeCell ref="AA15:AB15"/>
    <mergeCell ref="Y15:Z15"/>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F55:G55"/>
    <mergeCell ref="AN57:AN58"/>
    <mergeCell ref="AO57:AO58"/>
    <mergeCell ref="X57:X58"/>
    <mergeCell ref="Y57:Y58"/>
    <mergeCell ref="AL57:AL58"/>
    <mergeCell ref="AM57:AM58"/>
    <mergeCell ref="AA57:AA58"/>
    <mergeCell ref="AB57:AB58"/>
    <mergeCell ref="P56:Q56"/>
    <mergeCell ref="Z57:Z58"/>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x14ac:dyDescent="0.2"/>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x14ac:dyDescent="0.25">
      <c r="B1" s="1334" t="s">
        <v>2979</v>
      </c>
      <c r="C1" s="1334"/>
      <c r="D1" s="1334"/>
      <c r="E1" s="1334"/>
      <c r="F1" s="1334"/>
    </row>
    <row r="2" spans="2:11" ht="16.899999999999999" customHeight="1" x14ac:dyDescent="0.2"/>
    <row r="3" spans="2:11" ht="16.899999999999999" customHeight="1" x14ac:dyDescent="0.2"/>
    <row r="4" spans="2:11" ht="16.899999999999999" customHeight="1" x14ac:dyDescent="0.2">
      <c r="B4" s="455" t="s">
        <v>2980</v>
      </c>
      <c r="C4" s="924"/>
      <c r="D4" s="924"/>
      <c r="E4" s="924"/>
      <c r="F4" s="924"/>
      <c r="G4" s="924"/>
      <c r="H4" s="924"/>
      <c r="I4" s="924"/>
      <c r="J4" s="924"/>
      <c r="K4" s="925"/>
    </row>
    <row r="5" spans="2:11" ht="16.899999999999999" customHeight="1" x14ac:dyDescent="0.2">
      <c r="B5" s="926"/>
      <c r="C5" s="927"/>
      <c r="D5" s="927"/>
      <c r="E5" s="927"/>
      <c r="F5" s="927"/>
      <c r="G5" s="927"/>
      <c r="H5" s="927"/>
      <c r="I5" s="927"/>
      <c r="J5" s="927"/>
      <c r="K5" s="928"/>
    </row>
    <row r="6" spans="2:11" ht="16.899999999999999" customHeight="1" x14ac:dyDescent="0.2">
      <c r="B6" s="335" t="s">
        <v>2981</v>
      </c>
      <c r="C6" s="553">
        <v>0.1192</v>
      </c>
      <c r="D6" s="251" t="s">
        <v>2982</v>
      </c>
      <c r="G6" s="929" t="s">
        <v>2983</v>
      </c>
      <c r="H6" s="930">
        <v>0.91666666666666663</v>
      </c>
      <c r="I6" s="929" t="s">
        <v>2984</v>
      </c>
      <c r="J6" s="930">
        <v>0.25</v>
      </c>
      <c r="K6" s="931" t="s">
        <v>2985</v>
      </c>
    </row>
    <row r="7" spans="2:11" ht="16.899999999999999" customHeight="1" x14ac:dyDescent="0.2">
      <c r="B7" s="335" t="s">
        <v>2986</v>
      </c>
      <c r="C7" s="553">
        <v>0.1192</v>
      </c>
      <c r="D7" s="251" t="s">
        <v>2982</v>
      </c>
      <c r="G7" s="929" t="s">
        <v>2983</v>
      </c>
      <c r="H7" s="930">
        <v>0.25</v>
      </c>
      <c r="I7" s="929" t="s">
        <v>2984</v>
      </c>
      <c r="J7" s="930">
        <v>0.91666666666666663</v>
      </c>
      <c r="K7" s="931" t="s">
        <v>2985</v>
      </c>
    </row>
    <row r="8" spans="2:11" ht="16.899999999999999" customHeight="1" x14ac:dyDescent="0.2">
      <c r="B8" s="335"/>
      <c r="I8" s="929"/>
      <c r="K8" s="664"/>
    </row>
    <row r="9" spans="2:11" ht="16.899999999999999" customHeight="1" x14ac:dyDescent="0.2">
      <c r="B9" s="335" t="s">
        <v>2987</v>
      </c>
      <c r="C9" s="1018">
        <v>0.1192</v>
      </c>
      <c r="D9" s="251" t="s">
        <v>2982</v>
      </c>
      <c r="K9" s="664"/>
    </row>
    <row r="10" spans="2:11" ht="16.899999999999999" customHeight="1" x14ac:dyDescent="0.2">
      <c r="B10" s="315"/>
      <c r="C10" s="282"/>
      <c r="D10" s="282"/>
      <c r="E10" s="282"/>
      <c r="F10" s="282"/>
      <c r="G10" s="282"/>
      <c r="H10" s="282"/>
      <c r="I10" s="282"/>
      <c r="J10" s="282"/>
      <c r="K10" s="283"/>
    </row>
    <row r="11" spans="2:11" ht="16.899999999999999" customHeight="1" x14ac:dyDescent="0.2"/>
    <row r="12" spans="2:11" ht="16.899999999999999" customHeight="1" x14ac:dyDescent="0.2">
      <c r="B12" s="932" t="s">
        <v>2988</v>
      </c>
      <c r="C12" s="933"/>
      <c r="D12" s="933"/>
      <c r="E12" s="933"/>
      <c r="F12" s="933"/>
      <c r="G12" s="933"/>
      <c r="H12" s="933"/>
      <c r="I12" s="933"/>
      <c r="J12" s="933"/>
      <c r="K12" s="934"/>
    </row>
    <row r="13" spans="2:11" ht="16.899999999999999" customHeight="1" x14ac:dyDescent="0.2">
      <c r="B13" s="926"/>
      <c r="C13" s="927"/>
      <c r="D13" s="927"/>
      <c r="E13" s="927"/>
      <c r="F13" s="927"/>
      <c r="G13" s="927"/>
      <c r="H13" s="927"/>
      <c r="I13" s="927"/>
      <c r="J13" s="927"/>
      <c r="K13" s="928"/>
    </row>
    <row r="14" spans="2:11" ht="16.899999999999999" customHeight="1" x14ac:dyDescent="0.2">
      <c r="B14" s="335" t="s">
        <v>2989</v>
      </c>
      <c r="C14" s="935">
        <v>7.0000000000000007E-2</v>
      </c>
      <c r="D14" s="251" t="s">
        <v>2982</v>
      </c>
      <c r="G14" s="936"/>
      <c r="H14" s="1335" t="s">
        <v>2990</v>
      </c>
      <c r="I14" s="1335"/>
      <c r="J14" s="1335"/>
      <c r="K14" s="664"/>
    </row>
    <row r="15" spans="2:11" ht="16.899999999999999" customHeight="1" x14ac:dyDescent="0.2">
      <c r="B15" s="315"/>
      <c r="C15" s="937"/>
      <c r="D15" s="282"/>
      <c r="E15" s="282"/>
      <c r="F15" s="282"/>
      <c r="G15" s="282"/>
      <c r="H15" s="282"/>
      <c r="I15" s="282"/>
      <c r="J15" s="282"/>
      <c r="K15" s="283"/>
    </row>
    <row r="16" spans="2:11" ht="16.899999999999999" customHeight="1" x14ac:dyDescent="0.2"/>
    <row r="17" ht="16.899999999999999" customHeight="1" x14ac:dyDescent="0.2"/>
    <row r="18" ht="16.899999999999999" customHeight="1" x14ac:dyDescent="0.2"/>
    <row r="19" ht="16.899999999999999" customHeight="1" x14ac:dyDescent="0.2"/>
    <row r="20" ht="16.899999999999999" customHeight="1" x14ac:dyDescent="0.2"/>
    <row r="21" ht="16.899999999999999" customHeight="1" x14ac:dyDescent="0.2"/>
    <row r="22" ht="16.899999999999999" customHeight="1" x14ac:dyDescent="0.2"/>
    <row r="23" ht="16.899999999999999" customHeight="1" x14ac:dyDescent="0.2"/>
    <row r="24" ht="16.899999999999999" customHeight="1" x14ac:dyDescent="0.2"/>
    <row r="25" ht="16.899999999999999" customHeight="1" x14ac:dyDescent="0.2"/>
    <row r="26" ht="16.899999999999999" customHeight="1" x14ac:dyDescent="0.2"/>
    <row r="27" ht="16.899999999999999" customHeight="1" x14ac:dyDescent="0.2"/>
    <row r="28" ht="16.899999999999999" customHeight="1" x14ac:dyDescent="0.2"/>
    <row r="29" ht="16.899999999999999" customHeight="1" x14ac:dyDescent="0.2"/>
    <row r="30" ht="16.899999999999999" customHeight="1" x14ac:dyDescent="0.2"/>
    <row r="31" ht="16.899999999999999" customHeight="1" x14ac:dyDescent="0.2"/>
    <row r="32" ht="16.899999999999999" customHeight="1" x14ac:dyDescent="0.2"/>
    <row r="33" ht="16.899999999999999" customHeight="1" x14ac:dyDescent="0.2"/>
    <row r="34" ht="16.899999999999999" customHeight="1" x14ac:dyDescent="0.2"/>
    <row r="35" ht="16.899999999999999" customHeight="1" x14ac:dyDescent="0.2"/>
    <row r="36" ht="16.899999999999999" customHeight="1" x14ac:dyDescent="0.2"/>
    <row r="37" ht="16.899999999999999" customHeight="1" x14ac:dyDescent="0.2"/>
    <row r="38" ht="16.899999999999999" customHeight="1" x14ac:dyDescent="0.2"/>
    <row r="39" ht="16.899999999999999" customHeight="1" x14ac:dyDescent="0.2"/>
    <row r="40" ht="16.899999999999999" customHeight="1" x14ac:dyDescent="0.2"/>
    <row r="41" ht="16.899999999999999" customHeight="1" x14ac:dyDescent="0.2"/>
    <row r="42" ht="16.899999999999999" customHeight="1" x14ac:dyDescent="0.2"/>
    <row r="43" ht="16.899999999999999" customHeight="1" x14ac:dyDescent="0.2"/>
    <row r="44" ht="16.899999999999999" customHeight="1" x14ac:dyDescent="0.2"/>
    <row r="45" ht="16.899999999999999" customHeight="1" x14ac:dyDescent="0.2"/>
    <row r="46" ht="16.899999999999999" customHeight="1" x14ac:dyDescent="0.2"/>
    <row r="47" ht="16.899999999999999" customHeight="1" x14ac:dyDescent="0.2"/>
    <row r="48" ht="16.899999999999999" customHeight="1" x14ac:dyDescent="0.2"/>
    <row r="49" ht="16.899999999999999" customHeight="1" x14ac:dyDescent="0.2"/>
    <row r="50" ht="16.899999999999999" customHeight="1" x14ac:dyDescent="0.2"/>
    <row r="51" ht="16.899999999999999" customHeight="1" x14ac:dyDescent="0.2"/>
    <row r="52" ht="16.899999999999999" customHeight="1" x14ac:dyDescent="0.2"/>
    <row r="53" ht="16.899999999999999" customHeight="1" x14ac:dyDescent="0.2"/>
    <row r="54" ht="16.899999999999999" customHeight="1" x14ac:dyDescent="0.2"/>
    <row r="55" ht="16.899999999999999" customHeight="1" x14ac:dyDescent="0.2"/>
    <row r="56" ht="16.899999999999999" customHeight="1" x14ac:dyDescent="0.2"/>
    <row r="57" ht="16.899999999999999" customHeight="1" x14ac:dyDescent="0.2"/>
    <row r="58" ht="16.899999999999999" customHeight="1" x14ac:dyDescent="0.2"/>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x14ac:dyDescent="0.2"/>
  <cols>
    <col min="1" max="1" width="36.7109375" customWidth="1"/>
  </cols>
  <sheetData>
    <row r="1" spans="1:9" ht="22.5" x14ac:dyDescent="0.2">
      <c r="A1" s="938" t="s">
        <v>2991</v>
      </c>
      <c r="B1" s="939"/>
      <c r="C1" s="939"/>
      <c r="D1" s="939"/>
      <c r="E1" s="939"/>
      <c r="F1" s="939"/>
      <c r="G1" s="939"/>
      <c r="H1" s="939"/>
      <c r="I1" s="940"/>
    </row>
    <row r="2" spans="1:9" ht="15" x14ac:dyDescent="0.2">
      <c r="A2" s="941"/>
      <c r="B2" s="942"/>
      <c r="C2" s="942"/>
      <c r="D2" s="942"/>
      <c r="E2" s="942"/>
      <c r="F2" s="942"/>
      <c r="G2" s="942"/>
      <c r="H2" s="942"/>
      <c r="I2" s="943"/>
    </row>
    <row r="3" spans="1:9" ht="28.5" customHeight="1" x14ac:dyDescent="0.2">
      <c r="A3" s="1336" t="s">
        <v>1659</v>
      </c>
      <c r="B3" s="1337"/>
      <c r="C3" s="1337"/>
      <c r="D3" s="1337"/>
      <c r="E3" s="1337"/>
      <c r="F3" s="1337"/>
      <c r="G3" s="1337"/>
      <c r="H3" s="1337"/>
      <c r="I3" s="1338"/>
    </row>
    <row r="4" spans="1:9" ht="15" x14ac:dyDescent="0.2">
      <c r="A4" s="947"/>
      <c r="B4" s="942"/>
      <c r="C4" s="942"/>
      <c r="D4" s="942"/>
      <c r="E4" s="942"/>
      <c r="F4" s="942"/>
      <c r="G4" s="942"/>
      <c r="H4" s="942"/>
      <c r="I4" s="943"/>
    </row>
    <row r="5" spans="1:9" ht="15" x14ac:dyDescent="0.2">
      <c r="A5" s="948" t="s">
        <v>1660</v>
      </c>
      <c r="B5" s="942"/>
      <c r="C5" s="942"/>
      <c r="D5" s="942"/>
      <c r="E5" s="942"/>
      <c r="F5" s="942"/>
      <c r="G5" s="942"/>
      <c r="H5" s="942"/>
      <c r="I5" s="943"/>
    </row>
    <row r="6" spans="1:9" ht="15" x14ac:dyDescent="0.2">
      <c r="A6" s="941"/>
      <c r="B6" s="942"/>
      <c r="C6" s="942"/>
      <c r="D6" s="942"/>
      <c r="E6" s="942"/>
      <c r="F6" s="942"/>
      <c r="G6" s="942"/>
      <c r="H6" s="942"/>
      <c r="I6" s="943"/>
    </row>
    <row r="7" spans="1:9" ht="15" x14ac:dyDescent="0.2">
      <c r="A7" s="949" t="s">
        <v>1661</v>
      </c>
      <c r="B7" s="942"/>
      <c r="C7" s="942"/>
      <c r="D7" s="942"/>
      <c r="E7" s="942"/>
      <c r="F7" s="942"/>
      <c r="G7" s="942"/>
      <c r="H7" s="942"/>
      <c r="I7" s="943"/>
    </row>
    <row r="8" spans="1:9" ht="51" customHeight="1" x14ac:dyDescent="0.2">
      <c r="A8" s="1336" t="s">
        <v>1662</v>
      </c>
      <c r="B8" s="1337"/>
      <c r="C8" s="1337"/>
      <c r="D8" s="1337"/>
      <c r="E8" s="1337"/>
      <c r="F8" s="1337"/>
      <c r="G8" s="1337"/>
      <c r="H8" s="1337"/>
      <c r="I8" s="1338"/>
    </row>
    <row r="9" spans="1:9" ht="15" x14ac:dyDescent="0.2">
      <c r="A9" s="941"/>
      <c r="B9" s="942"/>
      <c r="C9" s="942"/>
      <c r="D9" s="942"/>
      <c r="E9" s="942"/>
      <c r="F9" s="942"/>
      <c r="G9" s="942"/>
      <c r="H9" s="942"/>
      <c r="I9" s="943"/>
    </row>
    <row r="10" spans="1:9" ht="15" x14ac:dyDescent="0.2">
      <c r="A10" s="949" t="s">
        <v>1663</v>
      </c>
      <c r="B10" s="942"/>
      <c r="C10" s="942"/>
      <c r="D10" s="942"/>
      <c r="E10" s="942"/>
      <c r="F10" s="942"/>
      <c r="G10" s="942"/>
      <c r="H10" s="942"/>
      <c r="I10" s="943"/>
    </row>
    <row r="11" spans="1:9" ht="79.5" customHeight="1" x14ac:dyDescent="0.2">
      <c r="A11" s="1336" t="s">
        <v>405</v>
      </c>
      <c r="B11" s="1337"/>
      <c r="C11" s="1337"/>
      <c r="D11" s="1337"/>
      <c r="E11" s="1337"/>
      <c r="F11" s="1337"/>
      <c r="G11" s="1337"/>
      <c r="H11" s="1337"/>
      <c r="I11" s="1338"/>
    </row>
    <row r="12" spans="1:9" ht="15" x14ac:dyDescent="0.2">
      <c r="A12" s="941"/>
      <c r="B12" s="942"/>
      <c r="C12" s="942"/>
      <c r="D12" s="942"/>
      <c r="E12" s="942"/>
      <c r="F12" s="942"/>
      <c r="G12" s="942"/>
      <c r="H12" s="942"/>
      <c r="I12" s="943"/>
    </row>
    <row r="13" spans="1:9" ht="15" x14ac:dyDescent="0.2">
      <c r="A13" s="949" t="s">
        <v>406</v>
      </c>
      <c r="B13" s="942"/>
      <c r="C13" s="942"/>
      <c r="D13" s="942"/>
      <c r="E13" s="942"/>
      <c r="F13" s="942"/>
      <c r="G13" s="942"/>
      <c r="H13" s="942"/>
      <c r="I13" s="943"/>
    </row>
    <row r="14" spans="1:9" ht="26.25" customHeight="1" x14ac:dyDescent="0.2">
      <c r="A14" s="1339" t="s">
        <v>1176</v>
      </c>
      <c r="B14" s="1340"/>
      <c r="C14" s="1340"/>
      <c r="D14" s="1340"/>
      <c r="E14" s="1340"/>
      <c r="F14" s="1340"/>
      <c r="G14" s="1340"/>
      <c r="H14" s="1340"/>
      <c r="I14" s="1341"/>
    </row>
    <row r="15" spans="1:9" ht="13.5" thickBot="1" x14ac:dyDescent="0.25">
      <c r="A15" s="950"/>
      <c r="I15" s="951"/>
    </row>
    <row r="16" spans="1:9" ht="33.75" customHeight="1" thickBot="1" x14ac:dyDescent="0.25">
      <c r="A16" s="952" t="s">
        <v>1177</v>
      </c>
      <c r="B16" s="953" t="s">
        <v>1178</v>
      </c>
      <c r="C16" s="953" t="s">
        <v>1179</v>
      </c>
      <c r="D16" s="953" t="s">
        <v>1180</v>
      </c>
      <c r="E16" s="953" t="s">
        <v>1181</v>
      </c>
      <c r="I16" s="951"/>
    </row>
    <row r="17" spans="1:9" ht="33.75" customHeight="1" thickBot="1" x14ac:dyDescent="0.25">
      <c r="A17" s="954" t="s">
        <v>1182</v>
      </c>
      <c r="B17" s="955">
        <v>32</v>
      </c>
      <c r="C17" s="955">
        <v>35</v>
      </c>
      <c r="D17" s="955">
        <v>40</v>
      </c>
      <c r="E17" s="955">
        <v>50</v>
      </c>
      <c r="I17" s="951"/>
    </row>
    <row r="18" spans="1:9" ht="33.75" customHeight="1" thickBot="1" x14ac:dyDescent="0.25">
      <c r="A18" s="954" t="s">
        <v>1183</v>
      </c>
      <c r="B18" s="955">
        <v>27</v>
      </c>
      <c r="C18" s="955">
        <v>30</v>
      </c>
      <c r="D18" s="955">
        <v>35</v>
      </c>
      <c r="E18" s="955">
        <v>40</v>
      </c>
      <c r="I18" s="951"/>
    </row>
    <row r="19" spans="1:9" ht="10.5" customHeight="1" x14ac:dyDescent="0.2">
      <c r="A19" s="956"/>
      <c r="I19" s="951"/>
    </row>
    <row r="20" spans="1:9" ht="13.5" x14ac:dyDescent="0.2">
      <c r="A20" s="957" t="s">
        <v>1184</v>
      </c>
      <c r="B20" s="958"/>
      <c r="C20" s="958"/>
      <c r="D20" s="958"/>
      <c r="E20" s="958"/>
      <c r="F20" s="958"/>
      <c r="G20" s="958"/>
      <c r="H20" s="958"/>
      <c r="I20" s="959"/>
    </row>
    <row r="21" spans="1:9" ht="5.25" customHeight="1" x14ac:dyDescent="0.2">
      <c r="A21" s="941"/>
      <c r="B21" s="942"/>
      <c r="C21" s="942"/>
      <c r="D21" s="942"/>
      <c r="E21" s="942"/>
      <c r="F21" s="942"/>
      <c r="G21" s="942"/>
      <c r="H21" s="942"/>
      <c r="I21" s="943"/>
    </row>
    <row r="22" spans="1:9" ht="34.5" customHeight="1" x14ac:dyDescent="0.2">
      <c r="A22" s="1336" t="s">
        <v>1185</v>
      </c>
      <c r="B22" s="1337"/>
      <c r="C22" s="1337"/>
      <c r="D22" s="1337"/>
      <c r="E22" s="1337"/>
      <c r="F22" s="1337"/>
      <c r="G22" s="1337"/>
      <c r="H22" s="1337"/>
      <c r="I22" s="1338"/>
    </row>
    <row r="23" spans="1:9" ht="27.75" customHeight="1" x14ac:dyDescent="0.2">
      <c r="A23" s="1336" t="s">
        <v>1186</v>
      </c>
      <c r="B23" s="1337"/>
      <c r="C23" s="1337"/>
      <c r="D23" s="1337"/>
      <c r="E23" s="1337"/>
      <c r="F23" s="1337"/>
      <c r="G23" s="1337"/>
      <c r="H23" s="1337"/>
      <c r="I23" s="1338"/>
    </row>
    <row r="24" spans="1:9" ht="15" x14ac:dyDescent="0.2">
      <c r="A24" s="1336"/>
      <c r="B24" s="1337"/>
      <c r="C24" s="1337"/>
      <c r="D24" s="1337"/>
      <c r="E24" s="1337"/>
      <c r="F24" s="1337"/>
      <c r="G24" s="1337"/>
      <c r="H24" s="1337"/>
      <c r="I24" s="1338"/>
    </row>
    <row r="25" spans="1:9" ht="15" x14ac:dyDescent="0.2">
      <c r="A25" s="949" t="s">
        <v>1187</v>
      </c>
      <c r="B25" s="942"/>
      <c r="C25" s="942"/>
      <c r="D25" s="942"/>
      <c r="E25" s="942"/>
      <c r="F25" s="942"/>
      <c r="G25" s="942"/>
      <c r="H25" s="942"/>
      <c r="I25" s="943"/>
    </row>
    <row r="26" spans="1:9" ht="44.25" customHeight="1" x14ac:dyDescent="0.2">
      <c r="A26" s="1336" t="s">
        <v>409</v>
      </c>
      <c r="B26" s="1337"/>
      <c r="C26" s="1337"/>
      <c r="D26" s="1337"/>
      <c r="E26" s="1337"/>
      <c r="F26" s="1337"/>
      <c r="G26" s="1337"/>
      <c r="H26" s="1337"/>
      <c r="I26" s="1338"/>
    </row>
    <row r="27" spans="1:9" ht="15" x14ac:dyDescent="0.2">
      <c r="A27" s="941"/>
      <c r="B27" s="942"/>
      <c r="C27" s="942"/>
      <c r="D27" s="942"/>
      <c r="E27" s="942"/>
      <c r="F27" s="942"/>
      <c r="G27" s="942"/>
      <c r="H27" s="942"/>
      <c r="I27" s="943"/>
    </row>
    <row r="28" spans="1:9" ht="15" x14ac:dyDescent="0.2">
      <c r="A28" s="949" t="s">
        <v>2606</v>
      </c>
      <c r="B28" s="942"/>
      <c r="C28" s="942"/>
      <c r="D28" s="942"/>
      <c r="E28" s="942"/>
      <c r="F28" s="942"/>
      <c r="G28" s="942"/>
      <c r="H28" s="942"/>
      <c r="I28" s="943"/>
    </row>
    <row r="29" spans="1:9" x14ac:dyDescent="0.2">
      <c r="A29" s="1336" t="s">
        <v>2920</v>
      </c>
      <c r="B29" s="1337"/>
      <c r="C29" s="1337"/>
      <c r="D29" s="1337"/>
      <c r="E29" s="1337"/>
      <c r="F29" s="1337"/>
      <c r="G29" s="1337"/>
      <c r="H29" s="1337"/>
      <c r="I29" s="1338"/>
    </row>
    <row r="30" spans="1:9" x14ac:dyDescent="0.2">
      <c r="A30" s="1336" t="s">
        <v>2921</v>
      </c>
      <c r="B30" s="1337"/>
      <c r="C30" s="1337"/>
      <c r="D30" s="1337"/>
      <c r="E30" s="1337"/>
      <c r="F30" s="1337"/>
      <c r="G30" s="1337"/>
      <c r="H30" s="1337"/>
      <c r="I30" s="1338"/>
    </row>
    <row r="31" spans="1:9" ht="15" x14ac:dyDescent="0.2">
      <c r="A31" s="944"/>
      <c r="B31" s="945"/>
      <c r="C31" s="945"/>
      <c r="D31" s="945"/>
      <c r="E31" s="945"/>
      <c r="F31" s="945"/>
      <c r="G31" s="945"/>
      <c r="H31" s="945"/>
      <c r="I31" s="946"/>
    </row>
    <row r="32" spans="1:9" x14ac:dyDescent="0.2">
      <c r="A32" s="1342" t="s">
        <v>2922</v>
      </c>
      <c r="B32" s="1343"/>
      <c r="C32" s="1343"/>
      <c r="D32" s="1343"/>
      <c r="E32" s="1343"/>
      <c r="F32" s="1343"/>
      <c r="G32" s="1343"/>
      <c r="H32" s="1343"/>
      <c r="I32" s="1344"/>
    </row>
    <row r="33" spans="1:9" x14ac:dyDescent="0.2">
      <c r="A33" s="1336" t="s">
        <v>2923</v>
      </c>
      <c r="B33" s="1337"/>
      <c r="C33" s="1337"/>
      <c r="D33" s="1337"/>
      <c r="E33" s="1337"/>
      <c r="F33" s="1337"/>
      <c r="G33" s="1337"/>
      <c r="H33" s="1337"/>
      <c r="I33" s="1338"/>
    </row>
    <row r="34" spans="1:9" ht="24" customHeight="1" x14ac:dyDescent="0.2">
      <c r="A34" s="1336"/>
      <c r="B34" s="1337"/>
      <c r="C34" s="1337"/>
      <c r="D34" s="1337"/>
      <c r="E34" s="1337"/>
      <c r="F34" s="1337"/>
      <c r="G34" s="1337"/>
      <c r="H34" s="1337"/>
      <c r="I34" s="1338"/>
    </row>
    <row r="35" spans="1:9" ht="15" x14ac:dyDescent="0.2">
      <c r="A35" s="947" t="s">
        <v>2924</v>
      </c>
      <c r="B35" s="942"/>
      <c r="C35" s="942"/>
      <c r="D35" s="942"/>
      <c r="E35" s="942"/>
      <c r="F35" s="942"/>
      <c r="G35" s="942"/>
      <c r="H35" s="942"/>
      <c r="I35" s="943"/>
    </row>
    <row r="36" spans="1:9" ht="13.5" thickBot="1" x14ac:dyDescent="0.25">
      <c r="A36" s="960"/>
      <c r="B36" s="961"/>
      <c r="C36" s="961"/>
      <c r="D36" s="961"/>
      <c r="E36" s="961"/>
      <c r="F36" s="961"/>
      <c r="G36" s="961"/>
      <c r="H36" s="961"/>
      <c r="I36" s="962"/>
    </row>
  </sheetData>
  <sheetProtection password="CABA" sheet="1" objects="1" scenarios="1"/>
  <mergeCells count="13">
    <mergeCell ref="A24:I24"/>
    <mergeCell ref="A26:I26"/>
    <mergeCell ref="A34:I34"/>
    <mergeCell ref="A29:I29"/>
    <mergeCell ref="A30:I30"/>
    <mergeCell ref="A32:I32"/>
    <mergeCell ref="A33:I33"/>
    <mergeCell ref="A22:I22"/>
    <mergeCell ref="A23:I23"/>
    <mergeCell ref="A3:I3"/>
    <mergeCell ref="A8:I8"/>
    <mergeCell ref="A11:I11"/>
    <mergeCell ref="A14:I14"/>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x14ac:dyDescent="0.2"/>
  <cols>
    <col min="1" max="1" width="22.7109375" bestFit="1" customWidth="1"/>
    <col min="2" max="125" width="4.42578125" customWidth="1"/>
  </cols>
  <sheetData>
    <row r="1" spans="1:67" x14ac:dyDescent="0.2">
      <c r="A1" t="s">
        <v>3172</v>
      </c>
      <c r="B1">
        <v>11</v>
      </c>
    </row>
    <row r="3" spans="1:67" x14ac:dyDescent="0.2">
      <c r="A3" s="380" t="s">
        <v>3173</v>
      </c>
      <c r="B3" s="381" t="s">
        <v>3174</v>
      </c>
    </row>
    <row r="4" spans="1:67" x14ac:dyDescent="0.2">
      <c r="A4" s="382" t="s">
        <v>2352</v>
      </c>
      <c r="B4" s="383"/>
    </row>
    <row r="5" spans="1:67" x14ac:dyDescent="0.2">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x14ac:dyDescent="0.2">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x14ac:dyDescent="0.2">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x14ac:dyDescent="0.2">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x14ac:dyDescent="0.2">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x14ac:dyDescent="0.2">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x14ac:dyDescent="0.2">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x14ac:dyDescent="0.2">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x14ac:dyDescent="0.2">
      <c r="A14" s="380" t="s">
        <v>3173</v>
      </c>
      <c r="B14" s="381" t="s">
        <v>899</v>
      </c>
    </row>
    <row r="15" spans="1:67" x14ac:dyDescent="0.2">
      <c r="A15" s="382" t="s">
        <v>3508</v>
      </c>
      <c r="B15" s="383"/>
    </row>
    <row r="16" spans="1:67" x14ac:dyDescent="0.2">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x14ac:dyDescent="0.2">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x14ac:dyDescent="0.2">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x14ac:dyDescent="0.2">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x14ac:dyDescent="0.2">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x14ac:dyDescent="0.2">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x14ac:dyDescent="0.2">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x14ac:dyDescent="0.2">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x14ac:dyDescent="0.2">
      <c r="A25" s="380" t="s">
        <v>3173</v>
      </c>
      <c r="B25" s="381" t="s">
        <v>900</v>
      </c>
    </row>
    <row r="26" spans="1:67" x14ac:dyDescent="0.2">
      <c r="A26" s="382" t="s">
        <v>3667</v>
      </c>
      <c r="B26" s="383"/>
    </row>
    <row r="27" spans="1:67" x14ac:dyDescent="0.2">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x14ac:dyDescent="0.2">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x14ac:dyDescent="0.2">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x14ac:dyDescent="0.2">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x14ac:dyDescent="0.2">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x14ac:dyDescent="0.2">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x14ac:dyDescent="0.2">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x14ac:dyDescent="0.2">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x14ac:dyDescent="0.2">
      <c r="A36" s="380" t="s">
        <v>3173</v>
      </c>
      <c r="B36" s="381" t="s">
        <v>901</v>
      </c>
    </row>
    <row r="37" spans="1:67" x14ac:dyDescent="0.2">
      <c r="A37" s="382" t="s">
        <v>902</v>
      </c>
      <c r="B37" s="383"/>
    </row>
    <row r="38" spans="1:67" x14ac:dyDescent="0.2">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x14ac:dyDescent="0.2">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x14ac:dyDescent="0.2">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x14ac:dyDescent="0.2">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x14ac:dyDescent="0.2">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x14ac:dyDescent="0.2">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x14ac:dyDescent="0.2">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x14ac:dyDescent="0.2">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x14ac:dyDescent="0.2">
      <c r="A47" s="380" t="s">
        <v>3173</v>
      </c>
      <c r="B47" s="381" t="s">
        <v>903</v>
      </c>
    </row>
    <row r="48" spans="1:67" x14ac:dyDescent="0.2">
      <c r="A48" s="382" t="s">
        <v>904</v>
      </c>
      <c r="B48" s="383"/>
    </row>
    <row r="49" spans="1:67" x14ac:dyDescent="0.2">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x14ac:dyDescent="0.2">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x14ac:dyDescent="0.2">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x14ac:dyDescent="0.2">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x14ac:dyDescent="0.2">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x14ac:dyDescent="0.2">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x14ac:dyDescent="0.2">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x14ac:dyDescent="0.2">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x14ac:dyDescent="0.2">
      <c r="A58" s="380" t="s">
        <v>3173</v>
      </c>
      <c r="B58" s="381" t="s">
        <v>905</v>
      </c>
    </row>
    <row r="59" spans="1:67" x14ac:dyDescent="0.2">
      <c r="A59" s="382" t="s">
        <v>3932</v>
      </c>
      <c r="B59" s="383"/>
    </row>
    <row r="60" spans="1:67" x14ac:dyDescent="0.2">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x14ac:dyDescent="0.2">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x14ac:dyDescent="0.2">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x14ac:dyDescent="0.2">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x14ac:dyDescent="0.2">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x14ac:dyDescent="0.2">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x14ac:dyDescent="0.2">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x14ac:dyDescent="0.2">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x14ac:dyDescent="0.2">
      <c r="A69" s="380" t="s">
        <v>3173</v>
      </c>
      <c r="B69" s="381" t="s">
        <v>906</v>
      </c>
    </row>
    <row r="70" spans="1:67" x14ac:dyDescent="0.2">
      <c r="A70" s="382" t="s">
        <v>3933</v>
      </c>
      <c r="B70" s="383"/>
    </row>
    <row r="71" spans="1:67" x14ac:dyDescent="0.2">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x14ac:dyDescent="0.2">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x14ac:dyDescent="0.2">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x14ac:dyDescent="0.2">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x14ac:dyDescent="0.2">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x14ac:dyDescent="0.2">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x14ac:dyDescent="0.2">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x14ac:dyDescent="0.2">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x14ac:dyDescent="0.2">
      <c r="A80" s="380" t="s">
        <v>3173</v>
      </c>
      <c r="B80" s="381" t="s">
        <v>907</v>
      </c>
    </row>
    <row r="81" spans="1:67" x14ac:dyDescent="0.2">
      <c r="A81" s="382" t="s">
        <v>3938</v>
      </c>
      <c r="B81" s="383"/>
    </row>
    <row r="82" spans="1:67" x14ac:dyDescent="0.2">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x14ac:dyDescent="0.2">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x14ac:dyDescent="0.2">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x14ac:dyDescent="0.2">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x14ac:dyDescent="0.2">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x14ac:dyDescent="0.2">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x14ac:dyDescent="0.2">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x14ac:dyDescent="0.2">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x14ac:dyDescent="0.2">
      <c r="A91" s="380" t="s">
        <v>3173</v>
      </c>
      <c r="B91" s="381" t="s">
        <v>908</v>
      </c>
    </row>
    <row r="92" spans="1:67" x14ac:dyDescent="0.2">
      <c r="A92" s="382" t="s">
        <v>3945</v>
      </c>
      <c r="B92" s="383"/>
    </row>
    <row r="93" spans="1:67" x14ac:dyDescent="0.2">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x14ac:dyDescent="0.2">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x14ac:dyDescent="0.2">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x14ac:dyDescent="0.2">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x14ac:dyDescent="0.2">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x14ac:dyDescent="0.2">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x14ac:dyDescent="0.2">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x14ac:dyDescent="0.2">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x14ac:dyDescent="0.2">
      <c r="A102" s="380" t="s">
        <v>3173</v>
      </c>
      <c r="B102" s="381" t="s">
        <v>909</v>
      </c>
    </row>
    <row r="103" spans="1:67" x14ac:dyDescent="0.2">
      <c r="A103" s="382" t="s">
        <v>910</v>
      </c>
      <c r="B103" s="383"/>
    </row>
    <row r="104" spans="1:67" x14ac:dyDescent="0.2">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x14ac:dyDescent="0.2">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x14ac:dyDescent="0.2">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x14ac:dyDescent="0.2">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x14ac:dyDescent="0.2">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x14ac:dyDescent="0.2">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x14ac:dyDescent="0.2">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x14ac:dyDescent="0.2">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x14ac:dyDescent="0.2">
      <c r="A113" s="380" t="s">
        <v>3173</v>
      </c>
      <c r="B113" s="381" t="s">
        <v>911</v>
      </c>
    </row>
    <row r="114" spans="1:67" x14ac:dyDescent="0.2">
      <c r="A114" s="382" t="s">
        <v>3952</v>
      </c>
      <c r="B114" s="383"/>
    </row>
    <row r="115" spans="1:67" x14ac:dyDescent="0.2">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x14ac:dyDescent="0.2">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x14ac:dyDescent="0.2">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x14ac:dyDescent="0.2">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x14ac:dyDescent="0.2">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x14ac:dyDescent="0.2">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x14ac:dyDescent="0.2">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x14ac:dyDescent="0.2">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x14ac:dyDescent="0.2">
      <c r="A124" s="380" t="s">
        <v>3173</v>
      </c>
      <c r="B124" s="381" t="s">
        <v>912</v>
      </c>
    </row>
    <row r="125" spans="1:67" x14ac:dyDescent="0.2">
      <c r="A125" s="382" t="s">
        <v>913</v>
      </c>
      <c r="B125" s="383"/>
    </row>
    <row r="126" spans="1:67" x14ac:dyDescent="0.2">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x14ac:dyDescent="0.2">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x14ac:dyDescent="0.2">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x14ac:dyDescent="0.2">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x14ac:dyDescent="0.2">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x14ac:dyDescent="0.2">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x14ac:dyDescent="0.2">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x14ac:dyDescent="0.2">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x14ac:dyDescent="0.2">
      <c r="A135" s="380" t="s">
        <v>3173</v>
      </c>
      <c r="B135" s="381" t="s">
        <v>914</v>
      </c>
    </row>
    <row r="136" spans="1:67" x14ac:dyDescent="0.2">
      <c r="A136" s="382" t="s">
        <v>2353</v>
      </c>
      <c r="B136" s="383"/>
    </row>
    <row r="137" spans="1:67" x14ac:dyDescent="0.2">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x14ac:dyDescent="0.2">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x14ac:dyDescent="0.2">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x14ac:dyDescent="0.2">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x14ac:dyDescent="0.2">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x14ac:dyDescent="0.2">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x14ac:dyDescent="0.2">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x14ac:dyDescent="0.2">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x14ac:dyDescent="0.2">
      <c r="A146" s="380" t="s">
        <v>3173</v>
      </c>
      <c r="B146" s="381" t="s">
        <v>915</v>
      </c>
    </row>
    <row r="147" spans="1:67" x14ac:dyDescent="0.2">
      <c r="A147" s="382" t="s">
        <v>2354</v>
      </c>
      <c r="B147" s="383"/>
    </row>
    <row r="148" spans="1:67" x14ac:dyDescent="0.2">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x14ac:dyDescent="0.2">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x14ac:dyDescent="0.2">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x14ac:dyDescent="0.2">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x14ac:dyDescent="0.2">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x14ac:dyDescent="0.2">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x14ac:dyDescent="0.2">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x14ac:dyDescent="0.2">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x14ac:dyDescent="0.2">
      <c r="A157" s="380" t="s">
        <v>3173</v>
      </c>
      <c r="B157" s="381" t="s">
        <v>916</v>
      </c>
    </row>
    <row r="158" spans="1:67" x14ac:dyDescent="0.2">
      <c r="A158" s="382" t="s">
        <v>2123</v>
      </c>
      <c r="B158" s="383"/>
    </row>
    <row r="159" spans="1:67" x14ac:dyDescent="0.2">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x14ac:dyDescent="0.2">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x14ac:dyDescent="0.2">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x14ac:dyDescent="0.2">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x14ac:dyDescent="0.2">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x14ac:dyDescent="0.2">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x14ac:dyDescent="0.2">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x14ac:dyDescent="0.2">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x14ac:dyDescent="0.2">
      <c r="A168" s="380" t="s">
        <v>3173</v>
      </c>
      <c r="B168" s="381" t="s">
        <v>917</v>
      </c>
    </row>
    <row r="169" spans="1:67" x14ac:dyDescent="0.2">
      <c r="A169" s="382" t="s">
        <v>2125</v>
      </c>
      <c r="B169" s="383"/>
    </row>
    <row r="170" spans="1:67" x14ac:dyDescent="0.2">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x14ac:dyDescent="0.2">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x14ac:dyDescent="0.2">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x14ac:dyDescent="0.2">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x14ac:dyDescent="0.2">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x14ac:dyDescent="0.2">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x14ac:dyDescent="0.2">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x14ac:dyDescent="0.2">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x14ac:dyDescent="0.2">
      <c r="A179" s="380" t="s">
        <v>3173</v>
      </c>
      <c r="B179" s="381" t="s">
        <v>918</v>
      </c>
    </row>
    <row r="180" spans="1:67" x14ac:dyDescent="0.2">
      <c r="A180" s="382" t="s">
        <v>2127</v>
      </c>
      <c r="B180" s="383"/>
    </row>
    <row r="181" spans="1:67" x14ac:dyDescent="0.2">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x14ac:dyDescent="0.2">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x14ac:dyDescent="0.2">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x14ac:dyDescent="0.2">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x14ac:dyDescent="0.2">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x14ac:dyDescent="0.2">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x14ac:dyDescent="0.2">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x14ac:dyDescent="0.2">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x14ac:dyDescent="0.2">
      <c r="A190" s="380" t="s">
        <v>3173</v>
      </c>
      <c r="B190" s="381" t="s">
        <v>919</v>
      </c>
    </row>
    <row r="191" spans="1:67" x14ac:dyDescent="0.2">
      <c r="A191" s="382" t="s">
        <v>2355</v>
      </c>
      <c r="B191" s="383"/>
    </row>
    <row r="192" spans="1:67" x14ac:dyDescent="0.2">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x14ac:dyDescent="0.2">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x14ac:dyDescent="0.2">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x14ac:dyDescent="0.2">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x14ac:dyDescent="0.2">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x14ac:dyDescent="0.2">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x14ac:dyDescent="0.2">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x14ac:dyDescent="0.2">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x14ac:dyDescent="0.2">
      <c r="A201" s="380" t="s">
        <v>3173</v>
      </c>
      <c r="B201" s="381" t="s">
        <v>920</v>
      </c>
    </row>
    <row r="202" spans="1:67" x14ac:dyDescent="0.2">
      <c r="A202" s="382" t="s">
        <v>2129</v>
      </c>
      <c r="B202" s="383"/>
    </row>
    <row r="203" spans="1:67" x14ac:dyDescent="0.2">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x14ac:dyDescent="0.2">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x14ac:dyDescent="0.2">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x14ac:dyDescent="0.2">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x14ac:dyDescent="0.2">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x14ac:dyDescent="0.2">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x14ac:dyDescent="0.2">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x14ac:dyDescent="0.2">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x14ac:dyDescent="0.2">
      <c r="A212" s="380" t="s">
        <v>3173</v>
      </c>
      <c r="B212" s="381" t="s">
        <v>921</v>
      </c>
    </row>
    <row r="213" spans="1:67" x14ac:dyDescent="0.2">
      <c r="A213" s="382" t="s">
        <v>2130</v>
      </c>
      <c r="B213" s="383"/>
    </row>
    <row r="214" spans="1:67" x14ac:dyDescent="0.2">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x14ac:dyDescent="0.2">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x14ac:dyDescent="0.2">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x14ac:dyDescent="0.2">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x14ac:dyDescent="0.2">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x14ac:dyDescent="0.2">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x14ac:dyDescent="0.2">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x14ac:dyDescent="0.2">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x14ac:dyDescent="0.2">
      <c r="A223" s="380" t="s">
        <v>3173</v>
      </c>
      <c r="B223" s="381" t="s">
        <v>922</v>
      </c>
    </row>
    <row r="224" spans="1:67" x14ac:dyDescent="0.2">
      <c r="A224" s="382" t="s">
        <v>2356</v>
      </c>
      <c r="B224" s="383"/>
    </row>
    <row r="225" spans="1:67" x14ac:dyDescent="0.2">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x14ac:dyDescent="0.2">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x14ac:dyDescent="0.2">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x14ac:dyDescent="0.2">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x14ac:dyDescent="0.2">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x14ac:dyDescent="0.2">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x14ac:dyDescent="0.2">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x14ac:dyDescent="0.2">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x14ac:dyDescent="0.2">
      <c r="A234" s="380" t="s">
        <v>3173</v>
      </c>
      <c r="B234" s="381" t="s">
        <v>1611</v>
      </c>
    </row>
    <row r="235" spans="1:67" x14ac:dyDescent="0.2">
      <c r="A235" s="382" t="s">
        <v>2132</v>
      </c>
      <c r="B235" s="383"/>
    </row>
    <row r="236" spans="1:67" x14ac:dyDescent="0.2">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x14ac:dyDescent="0.2">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x14ac:dyDescent="0.2">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x14ac:dyDescent="0.2">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x14ac:dyDescent="0.2">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x14ac:dyDescent="0.2">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x14ac:dyDescent="0.2">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x14ac:dyDescent="0.2">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x14ac:dyDescent="0.2">
      <c r="A245" s="380" t="s">
        <v>3173</v>
      </c>
      <c r="B245" s="381" t="s">
        <v>1612</v>
      </c>
    </row>
    <row r="246" spans="1:67" x14ac:dyDescent="0.2">
      <c r="A246" s="382" t="s">
        <v>2357</v>
      </c>
      <c r="B246" s="383"/>
    </row>
    <row r="247" spans="1:67" x14ac:dyDescent="0.2">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x14ac:dyDescent="0.2">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x14ac:dyDescent="0.2">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x14ac:dyDescent="0.2">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x14ac:dyDescent="0.2">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x14ac:dyDescent="0.2">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x14ac:dyDescent="0.2">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x14ac:dyDescent="0.2">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x14ac:dyDescent="0.2">
      <c r="A256" s="380" t="s">
        <v>3173</v>
      </c>
      <c r="B256" s="381" t="s">
        <v>1613</v>
      </c>
    </row>
    <row r="257" spans="1:67" x14ac:dyDescent="0.2">
      <c r="A257" s="382" t="s">
        <v>2358</v>
      </c>
      <c r="B257" s="383"/>
    </row>
    <row r="258" spans="1:67" x14ac:dyDescent="0.2">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x14ac:dyDescent="0.2">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x14ac:dyDescent="0.2">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x14ac:dyDescent="0.2">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x14ac:dyDescent="0.2">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x14ac:dyDescent="0.2">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x14ac:dyDescent="0.2">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x14ac:dyDescent="0.2">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x14ac:dyDescent="0.2">
      <c r="A267" s="380" t="s">
        <v>3173</v>
      </c>
      <c r="B267" s="381" t="s">
        <v>194</v>
      </c>
    </row>
    <row r="268" spans="1:67" x14ac:dyDescent="0.2">
      <c r="A268" s="382" t="s">
        <v>3891</v>
      </c>
      <c r="B268" s="383"/>
    </row>
    <row r="269" spans="1:67" x14ac:dyDescent="0.2">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x14ac:dyDescent="0.2">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x14ac:dyDescent="0.2">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x14ac:dyDescent="0.2">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x14ac:dyDescent="0.2">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x14ac:dyDescent="0.2">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x14ac:dyDescent="0.2">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x14ac:dyDescent="0.2">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x14ac:dyDescent="0.2">
      <c r="A278" s="380" t="s">
        <v>3173</v>
      </c>
      <c r="B278" s="381" t="s">
        <v>195</v>
      </c>
    </row>
    <row r="279" spans="1:67" x14ac:dyDescent="0.2">
      <c r="A279" s="382" t="s">
        <v>2133</v>
      </c>
      <c r="B279" s="383"/>
    </row>
    <row r="280" spans="1:67" x14ac:dyDescent="0.2">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x14ac:dyDescent="0.2">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x14ac:dyDescent="0.2">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x14ac:dyDescent="0.2">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x14ac:dyDescent="0.2">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x14ac:dyDescent="0.2">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x14ac:dyDescent="0.2">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x14ac:dyDescent="0.2">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x14ac:dyDescent="0.2">
      <c r="A289" s="380" t="s">
        <v>3173</v>
      </c>
      <c r="B289" s="381" t="s">
        <v>196</v>
      </c>
    </row>
    <row r="290" spans="1:67" x14ac:dyDescent="0.2">
      <c r="A290" s="382" t="s">
        <v>197</v>
      </c>
      <c r="B290" s="383"/>
    </row>
    <row r="291" spans="1:67" x14ac:dyDescent="0.2">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x14ac:dyDescent="0.2">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x14ac:dyDescent="0.2">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x14ac:dyDescent="0.2">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x14ac:dyDescent="0.2">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x14ac:dyDescent="0.2">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x14ac:dyDescent="0.2">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x14ac:dyDescent="0.2">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x14ac:dyDescent="0.2">
      <c r="A300" s="380" t="s">
        <v>3173</v>
      </c>
      <c r="B300" s="381" t="s">
        <v>198</v>
      </c>
    </row>
    <row r="301" spans="1:67" x14ac:dyDescent="0.2">
      <c r="A301" s="382" t="s">
        <v>2134</v>
      </c>
      <c r="B301" s="383"/>
    </row>
    <row r="302" spans="1:67" x14ac:dyDescent="0.2">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x14ac:dyDescent="0.2">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x14ac:dyDescent="0.2">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x14ac:dyDescent="0.2">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x14ac:dyDescent="0.2">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x14ac:dyDescent="0.2">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x14ac:dyDescent="0.2">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x14ac:dyDescent="0.2">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x14ac:dyDescent="0.2">
      <c r="A311" s="380" t="s">
        <v>3173</v>
      </c>
      <c r="B311" s="381" t="s">
        <v>199</v>
      </c>
    </row>
    <row r="312" spans="1:67" x14ac:dyDescent="0.2">
      <c r="A312" s="382" t="s">
        <v>2359</v>
      </c>
      <c r="B312" s="383"/>
    </row>
    <row r="313" spans="1:67" x14ac:dyDescent="0.2">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x14ac:dyDescent="0.2">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x14ac:dyDescent="0.2">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x14ac:dyDescent="0.2">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x14ac:dyDescent="0.2">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x14ac:dyDescent="0.2">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x14ac:dyDescent="0.2">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x14ac:dyDescent="0.2">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x14ac:dyDescent="0.2">
      <c r="A322" s="380" t="s">
        <v>3173</v>
      </c>
      <c r="B322" s="381" t="s">
        <v>200</v>
      </c>
    </row>
    <row r="323" spans="1:67" x14ac:dyDescent="0.2">
      <c r="A323" s="382" t="s">
        <v>2360</v>
      </c>
      <c r="B323" s="383"/>
    </row>
    <row r="324" spans="1:67" x14ac:dyDescent="0.2">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x14ac:dyDescent="0.2">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x14ac:dyDescent="0.2">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x14ac:dyDescent="0.2">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x14ac:dyDescent="0.2">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x14ac:dyDescent="0.2">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x14ac:dyDescent="0.2">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x14ac:dyDescent="0.2">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x14ac:dyDescent="0.2">
      <c r="A333" s="380" t="s">
        <v>3173</v>
      </c>
      <c r="B333" s="381" t="s">
        <v>201</v>
      </c>
    </row>
    <row r="334" spans="1:67" x14ac:dyDescent="0.2">
      <c r="A334" s="382" t="s">
        <v>3892</v>
      </c>
      <c r="B334" s="383"/>
    </row>
    <row r="335" spans="1:67" x14ac:dyDescent="0.2">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x14ac:dyDescent="0.2">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x14ac:dyDescent="0.2">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x14ac:dyDescent="0.2">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x14ac:dyDescent="0.2">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x14ac:dyDescent="0.2">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x14ac:dyDescent="0.2">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x14ac:dyDescent="0.2">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x14ac:dyDescent="0.2">
      <c r="A344" s="380" t="s">
        <v>3173</v>
      </c>
      <c r="B344" s="381" t="s">
        <v>202</v>
      </c>
    </row>
    <row r="345" spans="1:67" x14ac:dyDescent="0.2">
      <c r="A345" s="382" t="s">
        <v>3893</v>
      </c>
      <c r="B345" s="383"/>
    </row>
    <row r="346" spans="1:67" x14ac:dyDescent="0.2">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x14ac:dyDescent="0.2">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x14ac:dyDescent="0.2">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x14ac:dyDescent="0.2">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x14ac:dyDescent="0.2">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x14ac:dyDescent="0.2">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x14ac:dyDescent="0.2">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x14ac:dyDescent="0.2">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x14ac:dyDescent="0.2">
      <c r="A354" s="1039" t="s">
        <v>1491</v>
      </c>
    </row>
    <row r="355" spans="1:67" x14ac:dyDescent="0.2">
      <c r="A355" s="380" t="s">
        <v>3173</v>
      </c>
      <c r="B355" s="381" t="s">
        <v>1195</v>
      </c>
    </row>
    <row r="356" spans="1:67" x14ac:dyDescent="0.2">
      <c r="A356" s="382" t="s">
        <v>1196</v>
      </c>
      <c r="B356" s="383"/>
    </row>
    <row r="357" spans="1:67" x14ac:dyDescent="0.2">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x14ac:dyDescent="0.2">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x14ac:dyDescent="0.2">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x14ac:dyDescent="0.2">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x14ac:dyDescent="0.2">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x14ac:dyDescent="0.2">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x14ac:dyDescent="0.2">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x14ac:dyDescent="0.2">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x14ac:dyDescent="0.2">
      <c r="A366" s="1039" t="s">
        <v>1490</v>
      </c>
      <c r="B366" s="554"/>
      <c r="C366" s="554"/>
      <c r="D366" s="554"/>
      <c r="E366" s="554"/>
      <c r="F366" s="554"/>
    </row>
    <row r="369" spans="1:125" x14ac:dyDescent="0.2">
      <c r="A369" s="1023" t="s">
        <v>1475</v>
      </c>
      <c r="B369" s="381" t="s">
        <v>202</v>
      </c>
    </row>
    <row r="370" spans="1:125" x14ac:dyDescent="0.2">
      <c r="A370" s="382" t="s">
        <v>3893</v>
      </c>
      <c r="B370" s="383"/>
    </row>
    <row r="371" spans="1:125" x14ac:dyDescent="0.2">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x14ac:dyDescent="0.2">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x14ac:dyDescent="0.2">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x14ac:dyDescent="0.2">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x14ac:dyDescent="0.2">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x14ac:dyDescent="0.2">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x14ac:dyDescent="0.2">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x14ac:dyDescent="0.2">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x14ac:dyDescent="0.2">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x14ac:dyDescent="0.2">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x14ac:dyDescent="0.2">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x14ac:dyDescent="0.2">
      <c r="A383" s="552" t="s">
        <v>1476</v>
      </c>
    </row>
    <row r="384" spans="1:125" x14ac:dyDescent="0.2">
      <c r="A384">
        <f>JAZcalc!N723</f>
        <v>0</v>
      </c>
    </row>
    <row r="385" spans="1:10" x14ac:dyDescent="0.2">
      <c r="A385" s="552" t="s">
        <v>1473</v>
      </c>
      <c r="B385" s="490">
        <f>JAZcalc!R723</f>
        <v>0</v>
      </c>
    </row>
    <row r="386" spans="1:10" x14ac:dyDescent="0.2">
      <c r="A386" s="552" t="s">
        <v>1543</v>
      </c>
      <c r="B386" s="490">
        <f>JAZcalc!Q723</f>
        <v>0</v>
      </c>
    </row>
    <row r="389" spans="1:10" x14ac:dyDescent="0.2">
      <c r="E389" s="1024" t="s">
        <v>1483</v>
      </c>
    </row>
    <row r="390" spans="1:10" x14ac:dyDescent="0.2">
      <c r="A390" t="s">
        <v>1473</v>
      </c>
      <c r="B390" s="490">
        <f>A384</f>
        <v>0</v>
      </c>
      <c r="C390" s="490"/>
      <c r="D390" s="490">
        <f>B385</f>
        <v>0</v>
      </c>
      <c r="E390" s="1024" t="e">
        <f ca="1">E391+(D390-D391)*H394</f>
        <v>#N/A</v>
      </c>
      <c r="F390" s="1024" t="s">
        <v>284</v>
      </c>
      <c r="G390" s="490"/>
    </row>
    <row r="391" spans="1:10" x14ac:dyDescent="0.2">
      <c r="A391" t="s">
        <v>1477</v>
      </c>
      <c r="B391" s="490"/>
      <c r="C391" s="490" t="e">
        <f>MATCH(D390,D396:D416)</f>
        <v>#N/A</v>
      </c>
      <c r="D391" s="490" t="e">
        <f ca="1">OFFSET(D395,C391,0)</f>
        <v>#N/A</v>
      </c>
      <c r="E391" s="490" t="e">
        <f ca="1">OFFSET(E395,C391,0)</f>
        <v>#N/A</v>
      </c>
      <c r="F391" s="490"/>
      <c r="G391" s="490"/>
    </row>
    <row r="392" spans="1:10" x14ac:dyDescent="0.2">
      <c r="A392" t="s">
        <v>1478</v>
      </c>
      <c r="B392" s="490"/>
      <c r="C392" s="490" t="e">
        <f>C391+1</f>
        <v>#N/A</v>
      </c>
      <c r="D392" s="490" t="e">
        <f ca="1">OFFSET(D395,C392,0)</f>
        <v>#N/A</v>
      </c>
      <c r="E392" s="490" t="e">
        <f ca="1">OFFSET(E395,C392,0)</f>
        <v>#N/A</v>
      </c>
      <c r="F392" s="490"/>
      <c r="G392" s="490"/>
    </row>
    <row r="393" spans="1:10" x14ac:dyDescent="0.2">
      <c r="B393" s="490"/>
      <c r="C393" s="490"/>
      <c r="E393" s="490"/>
      <c r="F393" s="490"/>
      <c r="G393" s="490"/>
    </row>
    <row r="394" spans="1:10" x14ac:dyDescent="0.2">
      <c r="B394" s="490" t="s">
        <v>1479</v>
      </c>
      <c r="D394" s="490" t="e">
        <f ca="1">D391-D392</f>
        <v>#N/A</v>
      </c>
      <c r="E394" s="490" t="e">
        <f ca="1">E391-E392</f>
        <v>#N/A</v>
      </c>
      <c r="F394" s="490" t="s">
        <v>1480</v>
      </c>
      <c r="H394" s="1025" t="e">
        <f ca="1">E394/D394</f>
        <v>#N/A</v>
      </c>
      <c r="I394" s="1026" t="s">
        <v>1484</v>
      </c>
    </row>
    <row r="395" spans="1:10" x14ac:dyDescent="0.2">
      <c r="A395" t="s">
        <v>1481</v>
      </c>
      <c r="B395" s="490"/>
      <c r="D395" s="490" t="s">
        <v>1473</v>
      </c>
      <c r="E395" s="490" t="s">
        <v>1482</v>
      </c>
      <c r="F395" s="490"/>
      <c r="G395" s="490"/>
      <c r="J395" s="490" t="s">
        <v>116</v>
      </c>
    </row>
    <row r="396" spans="1:10" x14ac:dyDescent="0.2">
      <c r="B396" s="490"/>
      <c r="D396" s="1027">
        <v>2000</v>
      </c>
      <c r="E396" s="490">
        <v>5.25</v>
      </c>
      <c r="F396" s="490"/>
      <c r="G396" s="490"/>
      <c r="J396" s="490">
        <v>4</v>
      </c>
    </row>
    <row r="397" spans="1:10" x14ac:dyDescent="0.2">
      <c r="B397" s="490"/>
      <c r="D397" s="1027">
        <v>2400</v>
      </c>
      <c r="E397" s="490">
        <v>3.65</v>
      </c>
      <c r="F397" s="490"/>
      <c r="G397" s="490"/>
      <c r="J397" s="490">
        <v>2.4</v>
      </c>
    </row>
    <row r="398" spans="1:10" x14ac:dyDescent="0.2">
      <c r="B398" s="490"/>
      <c r="D398" s="1027">
        <v>2800</v>
      </c>
      <c r="E398" s="490">
        <v>2.2999999999999998</v>
      </c>
      <c r="F398" s="490"/>
      <c r="G398" s="490"/>
      <c r="J398" s="490">
        <v>1.05</v>
      </c>
    </row>
    <row r="399" spans="1:10" x14ac:dyDescent="0.2">
      <c r="B399" s="490"/>
      <c r="D399" s="1027">
        <v>3200</v>
      </c>
      <c r="E399" s="490">
        <v>0.95</v>
      </c>
      <c r="F399" s="490"/>
      <c r="G399" s="490"/>
      <c r="J399" s="490">
        <v>-0.3</v>
      </c>
    </row>
    <row r="400" spans="1:10" x14ac:dyDescent="0.2">
      <c r="B400" s="490"/>
      <c r="D400" s="1027">
        <v>3600</v>
      </c>
      <c r="E400" s="490">
        <v>-0.45</v>
      </c>
      <c r="F400" s="490"/>
      <c r="G400" s="490"/>
      <c r="J400" s="490">
        <v>-1.7</v>
      </c>
    </row>
    <row r="401" spans="2:10" x14ac:dyDescent="0.2">
      <c r="B401" s="490"/>
      <c r="D401" s="1027">
        <v>4000</v>
      </c>
      <c r="E401" s="490">
        <v>-1.75</v>
      </c>
      <c r="F401" s="490"/>
      <c r="G401" s="490"/>
      <c r="J401" s="490">
        <v>-3</v>
      </c>
    </row>
    <row r="402" spans="2:10" x14ac:dyDescent="0.2">
      <c r="B402" s="490"/>
      <c r="D402" s="1027">
        <v>4400</v>
      </c>
      <c r="E402" s="490">
        <v>-2.75</v>
      </c>
      <c r="F402" s="490"/>
      <c r="G402" s="490"/>
      <c r="J402" s="490">
        <v>-4</v>
      </c>
    </row>
    <row r="403" spans="2:10" x14ac:dyDescent="0.2">
      <c r="B403" s="490"/>
      <c r="D403" s="1027">
        <v>4800</v>
      </c>
      <c r="E403" s="490">
        <v>-3.55</v>
      </c>
      <c r="F403" s="490"/>
      <c r="G403" s="490"/>
      <c r="J403" s="490">
        <v>-4.8</v>
      </c>
    </row>
    <row r="404" spans="2:10" x14ac:dyDescent="0.2">
      <c r="B404" s="490"/>
      <c r="D404" s="1027">
        <v>5200</v>
      </c>
      <c r="E404" s="490">
        <v>-4.3499999999999996</v>
      </c>
      <c r="F404" s="490"/>
      <c r="G404" s="490"/>
      <c r="J404" s="490">
        <v>-5.6</v>
      </c>
    </row>
    <row r="405" spans="2:10" x14ac:dyDescent="0.2">
      <c r="B405" s="490"/>
      <c r="D405" s="1027">
        <v>5600</v>
      </c>
      <c r="E405" s="490">
        <v>-5.05</v>
      </c>
      <c r="F405" s="490"/>
      <c r="G405" s="490"/>
      <c r="J405" s="490">
        <v>-6.3</v>
      </c>
    </row>
    <row r="406" spans="2:10" x14ac:dyDescent="0.2">
      <c r="B406" s="490"/>
      <c r="D406" s="1027">
        <v>6000</v>
      </c>
      <c r="E406" s="490">
        <v>-5.8</v>
      </c>
      <c r="F406" s="490"/>
      <c r="G406" s="490"/>
      <c r="J406" s="490">
        <v>-7.05</v>
      </c>
    </row>
    <row r="407" spans="2:10" x14ac:dyDescent="0.2">
      <c r="B407" s="490"/>
      <c r="D407" s="1027">
        <v>6400</v>
      </c>
      <c r="E407" s="490">
        <v>-6.45</v>
      </c>
      <c r="F407" s="490"/>
      <c r="G407" s="490"/>
      <c r="J407" s="490">
        <v>-7.7</v>
      </c>
    </row>
    <row r="408" spans="2:10" x14ac:dyDescent="0.2">
      <c r="B408" s="490"/>
      <c r="D408" s="1027">
        <v>6800</v>
      </c>
      <c r="E408" s="490">
        <v>-7.15</v>
      </c>
      <c r="F408" s="490"/>
      <c r="G408" s="490"/>
      <c r="J408" s="490">
        <v>-8.4</v>
      </c>
    </row>
    <row r="409" spans="2:10" x14ac:dyDescent="0.2">
      <c r="B409" s="490"/>
      <c r="D409" s="1027">
        <v>7200</v>
      </c>
      <c r="E409" s="490">
        <v>-7.75</v>
      </c>
      <c r="F409" s="490"/>
      <c r="G409" s="490"/>
      <c r="J409" s="490">
        <v>-9</v>
      </c>
    </row>
    <row r="410" spans="2:10" x14ac:dyDescent="0.2">
      <c r="B410" s="490"/>
      <c r="D410" s="1027">
        <v>7600</v>
      </c>
      <c r="E410" s="490">
        <v>-8.35</v>
      </c>
      <c r="F410" s="490"/>
      <c r="G410" s="490"/>
      <c r="J410" s="490">
        <v>-9.6</v>
      </c>
    </row>
    <row r="411" spans="2:10" x14ac:dyDescent="0.2">
      <c r="B411" s="490"/>
      <c r="D411" s="1027">
        <v>8000</v>
      </c>
      <c r="E411" s="490">
        <v>-8.75</v>
      </c>
      <c r="F411" s="490"/>
      <c r="G411" s="490"/>
      <c r="J411" s="490">
        <v>-10</v>
      </c>
    </row>
    <row r="412" spans="2:10" x14ac:dyDescent="0.2">
      <c r="B412" s="490"/>
      <c r="D412" s="1027">
        <v>8400</v>
      </c>
      <c r="E412" s="490">
        <v>-9.15</v>
      </c>
      <c r="F412" s="490"/>
      <c r="G412" s="490"/>
      <c r="J412" s="490">
        <v>-10.4</v>
      </c>
    </row>
    <row r="413" spans="2:10" x14ac:dyDescent="0.2">
      <c r="B413" s="490"/>
      <c r="D413" s="1027">
        <v>8800</v>
      </c>
      <c r="E413" s="490">
        <v>-9.5500000000000007</v>
      </c>
      <c r="F413" s="490"/>
      <c r="G413" s="490"/>
      <c r="J413" s="490">
        <v>-10.8</v>
      </c>
    </row>
    <row r="414" spans="2:10" x14ac:dyDescent="0.2">
      <c r="B414" s="490"/>
      <c r="D414" s="1027">
        <v>9200</v>
      </c>
      <c r="E414" s="490">
        <v>-9.9499999999999993</v>
      </c>
      <c r="F414" s="490"/>
      <c r="G414" s="490"/>
      <c r="J414" s="490">
        <v>-11.2</v>
      </c>
    </row>
    <row r="415" spans="2:10" x14ac:dyDescent="0.2">
      <c r="B415" s="490"/>
      <c r="D415" s="1027">
        <v>9600</v>
      </c>
      <c r="E415" s="490">
        <v>-10.35</v>
      </c>
      <c r="F415" s="490"/>
      <c r="G415" s="490"/>
      <c r="J415" s="490">
        <v>-11.6</v>
      </c>
    </row>
    <row r="416" spans="2:10" x14ac:dyDescent="0.2">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x14ac:dyDescent="0.2"/>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x14ac:dyDescent="0.2">
      <c r="E1" s="390" t="s">
        <v>203</v>
      </c>
      <c r="G1" s="390">
        <f>Index_Klima</f>
        <v>-1</v>
      </c>
      <c r="P1" s="391">
        <f>'WP1'!L2-2</f>
        <v>-1</v>
      </c>
    </row>
    <row r="2" spans="3:70" x14ac:dyDescent="0.2">
      <c r="E2" s="390" t="s">
        <v>204</v>
      </c>
      <c r="G2" s="390">
        <f>G1*BIN!B1</f>
        <v>-11</v>
      </c>
    </row>
    <row r="4" spans="3:70" x14ac:dyDescent="0.2">
      <c r="D4" s="392" t="e">
        <f t="array" aca="1" ref="D4:E5" ca="1">OFFSET(Startzeile_BINs,$G$2,0,2,2)</f>
        <v>#REF!</v>
      </c>
      <c r="E4" s="393" t="e">
        <f ca="1"/>
        <v>#REF!</v>
      </c>
    </row>
    <row r="5" spans="3:70" x14ac:dyDescent="0.2">
      <c r="C5" s="390" t="s">
        <v>205</v>
      </c>
      <c r="D5" s="394" t="e">
        <f ca="1"/>
        <v>#REF!</v>
      </c>
      <c r="E5" s="395" t="e">
        <f ca="1"/>
        <v>#REF!</v>
      </c>
    </row>
    <row r="6" spans="3:70" x14ac:dyDescent="0.2">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x14ac:dyDescent="0.2">
      <c r="C7" s="390" t="s">
        <v>3666</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x14ac:dyDescent="0.2">
      <c r="C8" s="390" t="s">
        <v>3666</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x14ac:dyDescent="0.2">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x14ac:dyDescent="0.2">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x14ac:dyDescent="0.2">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x14ac:dyDescent="0.2">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x14ac:dyDescent="0.2">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x14ac:dyDescent="0.2">
      <c r="D14" s="390" t="s">
        <v>207</v>
      </c>
      <c r="E14" s="489" t="e">
        <f>B31-Zuschlag_CH</f>
        <v>#VALUE!</v>
      </c>
      <c r="F14" s="390" t="s">
        <v>2948</v>
      </c>
    </row>
    <row r="15" spans="3:70" x14ac:dyDescent="0.2">
      <c r="D15" s="390" t="s">
        <v>208</v>
      </c>
      <c r="E15" s="402">
        <v>20</v>
      </c>
      <c r="F15" s="390" t="s">
        <v>2948</v>
      </c>
    </row>
    <row r="16" spans="3:70" x14ac:dyDescent="0.2">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x14ac:dyDescent="0.2">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x14ac:dyDescent="0.2">
      <c r="B18" s="405"/>
      <c r="C18" s="390" t="s">
        <v>3666</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x14ac:dyDescent="0.2">
      <c r="C19" s="390" t="s">
        <v>3666</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x14ac:dyDescent="0.2">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x14ac:dyDescent="0.2">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x14ac:dyDescent="0.2">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x14ac:dyDescent="0.2">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x14ac:dyDescent="0.2">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x14ac:dyDescent="0.2">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x14ac:dyDescent="0.3">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x14ac:dyDescent="0.2">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x14ac:dyDescent="0.3">
      <c r="B28" s="454" t="e">
        <f>'WP1'!M30*EBF/3.6</f>
        <v>#VALUE!</v>
      </c>
      <c r="C28" s="390" t="s">
        <v>3665</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x14ac:dyDescent="0.3">
      <c r="B29" s="454">
        <f>'WP1'!H9*(1+Verteilverluste)*EBF/3.6</f>
        <v>0</v>
      </c>
      <c r="C29" s="390" t="s">
        <v>3665</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x14ac:dyDescent="0.3">
      <c r="B30" s="454" t="e">
        <f>'WP1'!M30*EBF/3.6-B29</f>
        <v>#VALUE!</v>
      </c>
      <c r="C30" s="390" t="s">
        <v>3665</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x14ac:dyDescent="0.2">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x14ac:dyDescent="0.2">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x14ac:dyDescent="0.2">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x14ac:dyDescent="0.2">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x14ac:dyDescent="0.2">
      <c r="B35" s="468" t="e">
        <f>'WP1'!M32/28*(20-TaMin)</f>
        <v>#VALUE!</v>
      </c>
      <c r="C35" s="390" t="s">
        <v>3650</v>
      </c>
      <c r="D35" s="390" t="str">
        <f>'WP1'!B14</f>
        <v>Puissance de chauffage nécessaire sans ECS à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x14ac:dyDescent="0.2">
      <c r="A36" s="1109">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x14ac:dyDescent="0.2">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x14ac:dyDescent="0.2">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x14ac:dyDescent="0.2">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x14ac:dyDescent="0.2">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x14ac:dyDescent="0.2">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x14ac:dyDescent="0.2">
      <c r="B42" s="405" t="e">
        <f ca="1">SUM(E42:BR42)</f>
        <v>#REF!</v>
      </c>
      <c r="C42" s="390" t="s">
        <v>3665</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x14ac:dyDescent="0.2">
      <c r="B43" s="405" t="e">
        <f ca="1">SUM(E43:BR43)</f>
        <v>#REF!</v>
      </c>
      <c r="C43" s="390" t="s">
        <v>3665</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x14ac:dyDescent="0.3">
      <c r="B44" s="409">
        <f>B27*I26/1000</f>
        <v>0</v>
      </c>
      <c r="C44" s="390" t="s">
        <v>3650</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x14ac:dyDescent="0.3">
      <c r="B45" s="405" t="e">
        <f ca="1">SUM(E45:BR45)</f>
        <v>#REF!</v>
      </c>
      <c r="C45" s="390" t="s">
        <v>3665</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x14ac:dyDescent="0.3">
      <c r="B46" s="405" t="e">
        <f ca="1">SUM(E46:BR46)</f>
        <v>#REF!</v>
      </c>
      <c r="C46" s="390" t="s">
        <v>3665</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x14ac:dyDescent="0.2">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x14ac:dyDescent="0.3">
      <c r="B48" s="405" t="e">
        <f ca="1">SUM(E48:BR48)</f>
        <v>#REF!</v>
      </c>
      <c r="C48" s="390" t="s">
        <v>3666</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x14ac:dyDescent="0.3">
      <c r="B49" s="405" t="e">
        <f ca="1">SUM(E49:BR49)</f>
        <v>#REF!</v>
      </c>
      <c r="C49" s="390" t="s">
        <v>3666</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x14ac:dyDescent="0.3">
      <c r="B50" s="405" t="e">
        <f ca="1">B30-B45</f>
        <v>#VALUE!</v>
      </c>
      <c r="C50" s="390" t="s">
        <v>3665</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x14ac:dyDescent="0.3">
      <c r="B51" s="405" t="e">
        <f ca="1">B30-B46</f>
        <v>#VALUE!</v>
      </c>
      <c r="C51" s="390" t="s">
        <v>3665</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x14ac:dyDescent="0.3">
      <c r="B52" s="409" t="e">
        <f ca="1">B50/B48</f>
        <v>#VALUE!</v>
      </c>
      <c r="C52" s="390" t="s">
        <v>3650</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x14ac:dyDescent="0.3">
      <c r="B53" s="409" t="e">
        <f ca="1">B51/B49</f>
        <v>#VALUE!</v>
      </c>
      <c r="C53" s="390" t="s">
        <v>3650</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x14ac:dyDescent="0.3">
      <c r="B54" s="405" t="e">
        <f ca="1">SUM(E54:BR54)</f>
        <v>#VALUE!</v>
      </c>
      <c r="C54" s="390" t="s">
        <v>3665</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x14ac:dyDescent="0.3">
      <c r="B55" s="405" t="e">
        <f ca="1">SUM(E55:BR55)</f>
        <v>#VALUE!</v>
      </c>
      <c r="C55" s="390" t="s">
        <v>3665</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x14ac:dyDescent="0.3">
      <c r="B56" s="405" t="e">
        <f ca="1">B50-B54</f>
        <v>#VALUE!</v>
      </c>
      <c r="C56" s="390" t="s">
        <v>3665</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x14ac:dyDescent="0.3">
      <c r="B57" s="405" t="e">
        <f ca="1">B51-B55</f>
        <v>#VALUE!</v>
      </c>
      <c r="C57" s="390" t="s">
        <v>3665</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x14ac:dyDescent="0.3">
      <c r="B58" s="405" t="e">
        <f ca="1">SUM(E58:BR58)</f>
        <v>#REF!</v>
      </c>
      <c r="C58" s="390" t="s">
        <v>3666</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x14ac:dyDescent="0.3">
      <c r="B59" s="405" t="e">
        <f ca="1">SUM(E59:BR59)</f>
        <v>#REF!</v>
      </c>
      <c r="C59" s="390" t="s">
        <v>3666</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x14ac:dyDescent="0.3">
      <c r="B60" s="409" t="e">
        <f ca="1">B56/B58</f>
        <v>#VALUE!</v>
      </c>
      <c r="C60" s="390" t="s">
        <v>3650</v>
      </c>
      <c r="D60" s="390" t="s">
        <v>3364</v>
      </c>
    </row>
    <row r="61" spans="2:70" ht="15.75" x14ac:dyDescent="0.3">
      <c r="B61" s="409" t="e">
        <f ca="1">B57/B59</f>
        <v>#VALUE!</v>
      </c>
      <c r="C61" s="390" t="s">
        <v>3650</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x14ac:dyDescent="0.3">
      <c r="B62" s="405" t="e">
        <f t="shared" ref="B62:B67" ca="1" si="32">SUM(E62:BR62)</f>
        <v>#REF!</v>
      </c>
      <c r="C62" s="390" t="s">
        <v>3665</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x14ac:dyDescent="0.3">
      <c r="B63" s="405" t="e">
        <f t="shared" ca="1" si="32"/>
        <v>#REF!</v>
      </c>
      <c r="C63" s="390" t="s">
        <v>3665</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x14ac:dyDescent="0.3">
      <c r="B64" s="405" t="e">
        <f t="shared" ca="1" si="32"/>
        <v>#VALUE!</v>
      </c>
      <c r="C64" s="390" t="s">
        <v>3665</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x14ac:dyDescent="0.3">
      <c r="B65" s="405" t="e">
        <f t="shared" ca="1" si="32"/>
        <v>#VALUE!</v>
      </c>
      <c r="C65" s="390" t="s">
        <v>3665</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x14ac:dyDescent="0.3">
      <c r="B66" s="405" t="e">
        <f t="shared" ca="1" si="32"/>
        <v>#VALUE!</v>
      </c>
      <c r="C66" s="390" t="s">
        <v>3665</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x14ac:dyDescent="0.3">
      <c r="B67" s="405" t="e">
        <f t="shared" ca="1" si="32"/>
        <v>#VALUE!</v>
      </c>
      <c r="C67" s="390" t="s">
        <v>3665</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x14ac:dyDescent="0.2">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x14ac:dyDescent="0.3">
      <c r="B69" s="405" t="e">
        <f t="shared" ref="B69:B76" ca="1" si="47">SUM(E69:BR69)</f>
        <v>#REF!</v>
      </c>
      <c r="C69" s="390" t="s">
        <v>3665</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x14ac:dyDescent="0.3">
      <c r="B70" s="405" t="e">
        <f t="shared" ca="1" si="47"/>
        <v>#REF!</v>
      </c>
      <c r="C70" s="390" t="s">
        <v>3665</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x14ac:dyDescent="0.3">
      <c r="B71" s="405" t="e">
        <f t="shared" ca="1" si="47"/>
        <v>#REF!</v>
      </c>
      <c r="C71" s="390" t="s">
        <v>3665</v>
      </c>
      <c r="D71" s="390" t="s">
        <v>3625</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x14ac:dyDescent="0.3">
      <c r="B72" s="405" t="e">
        <f t="shared" ca="1" si="47"/>
        <v>#REF!</v>
      </c>
      <c r="C72" s="390" t="s">
        <v>3665</v>
      </c>
      <c r="D72" s="390" t="s">
        <v>3626</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x14ac:dyDescent="0.3">
      <c r="B73" s="405" t="e">
        <f t="shared" ca="1" si="47"/>
        <v>#VALUE!</v>
      </c>
      <c r="C73" s="390" t="s">
        <v>3665</v>
      </c>
      <c r="D73" s="390" t="s">
        <v>3627</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x14ac:dyDescent="0.3">
      <c r="B74" s="405" t="e">
        <f t="shared" ca="1" si="47"/>
        <v>#VALUE!</v>
      </c>
      <c r="C74" s="390" t="s">
        <v>3665</v>
      </c>
      <c r="D74" s="390" t="s">
        <v>3628</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x14ac:dyDescent="0.3">
      <c r="B75" s="405" t="e">
        <f t="shared" ca="1" si="47"/>
        <v>#REF!</v>
      </c>
      <c r="C75" s="390" t="s">
        <v>3665</v>
      </c>
      <c r="D75" s="390" t="s">
        <v>3629</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x14ac:dyDescent="0.3">
      <c r="B76" s="405" t="e">
        <f t="shared" ca="1" si="47"/>
        <v>#REF!</v>
      </c>
      <c r="C76" s="390" t="s">
        <v>3665</v>
      </c>
      <c r="D76" s="390" t="s">
        <v>3630</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x14ac:dyDescent="0.3">
      <c r="D77" s="390" t="s">
        <v>3631</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x14ac:dyDescent="0.3">
      <c r="D78" s="390" t="s">
        <v>3632</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x14ac:dyDescent="0.3">
      <c r="A79" s="673"/>
      <c r="B79" s="416" t="s">
        <v>3221</v>
      </c>
      <c r="C79" s="416" t="s">
        <v>3650</v>
      </c>
      <c r="D79" s="416" t="s">
        <v>3633</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x14ac:dyDescent="0.3">
      <c r="D80" s="390" t="s">
        <v>3634</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x14ac:dyDescent="0.3">
      <c r="A81" s="673"/>
      <c r="B81" s="416" t="s">
        <v>1122</v>
      </c>
      <c r="C81" s="416" t="s">
        <v>3666</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x14ac:dyDescent="0.3">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x14ac:dyDescent="0.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x14ac:dyDescent="0.2">
      <c r="B84" s="405" t="e">
        <f ca="1">SUM(E84:BR84)</f>
        <v>#REF!</v>
      </c>
      <c r="C84" s="390" t="s">
        <v>3665</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x14ac:dyDescent="0.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x14ac:dyDescent="0.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x14ac:dyDescent="0.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x14ac:dyDescent="0.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x14ac:dyDescent="0.2">
      <c r="A89" s="672" t="s">
        <v>688</v>
      </c>
      <c r="B89" s="674">
        <f>Azimut</f>
        <v>0</v>
      </c>
      <c r="D89" s="390" t="s">
        <v>3635</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x14ac:dyDescent="0.2">
      <c r="A90" s="672" t="s">
        <v>688</v>
      </c>
      <c r="B90" s="674">
        <f>Neigung</f>
        <v>0</v>
      </c>
      <c r="D90" s="390" t="s">
        <v>3636</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x14ac:dyDescent="0.2">
      <c r="A91" s="672" t="s">
        <v>3351</v>
      </c>
      <c r="B91" s="743">
        <v>15</v>
      </c>
      <c r="D91" s="390" t="s">
        <v>3637</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x14ac:dyDescent="0.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x14ac:dyDescent="0.2">
      <c r="C93" s="409">
        <f>COS(RADIANS(a))</f>
        <v>1</v>
      </c>
      <c r="D93" s="390" t="s">
        <v>3638</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x14ac:dyDescent="0.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x14ac:dyDescent="0.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x14ac:dyDescent="0.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x14ac:dyDescent="0.2">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x14ac:dyDescent="0.2">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x14ac:dyDescent="0.2">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x14ac:dyDescent="0.2">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x14ac:dyDescent="0.2">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x14ac:dyDescent="0.3">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x14ac:dyDescent="0.2">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x14ac:dyDescent="0.2">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x14ac:dyDescent="0.2">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x14ac:dyDescent="0.3">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x14ac:dyDescent="0.2">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x14ac:dyDescent="0.2">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x14ac:dyDescent="0.3">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x14ac:dyDescent="0.2">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x14ac:dyDescent="0.2">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x14ac:dyDescent="0.2">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x14ac:dyDescent="0.3">
      <c r="A113" s="672" t="s">
        <v>688</v>
      </c>
      <c r="B113" s="416">
        <f>'WP1'!D52</f>
        <v>0</v>
      </c>
      <c r="D113" s="390" t="s">
        <v>3639</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x14ac:dyDescent="0.3">
      <c r="A114" s="672" t="s">
        <v>688</v>
      </c>
      <c r="B114" s="416">
        <f>'WP1'!F52</f>
        <v>0</v>
      </c>
      <c r="D114" s="390" t="s">
        <v>3640</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x14ac:dyDescent="0.3">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x14ac:dyDescent="0.3">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x14ac:dyDescent="0.3">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x14ac:dyDescent="0.3">
      <c r="A118" s="672" t="s">
        <v>2071</v>
      </c>
      <c r="B118" s="409" t="e">
        <f>B130/8760</f>
        <v>#VALUE!</v>
      </c>
      <c r="C118" s="390" t="s">
        <v>3650</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x14ac:dyDescent="0.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x14ac:dyDescent="0.3">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x14ac:dyDescent="0.2">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x14ac:dyDescent="0.3">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x14ac:dyDescent="0.2">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x14ac:dyDescent="0.2">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x14ac:dyDescent="0.2">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x14ac:dyDescent="0.3">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x14ac:dyDescent="0.3">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x14ac:dyDescent="0.3">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x14ac:dyDescent="0.2">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x14ac:dyDescent="0.3">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x14ac:dyDescent="0.3">
      <c r="A131" s="672" t="s">
        <v>2071</v>
      </c>
      <c r="B131" s="409" t="e">
        <f>P_W_dis</f>
        <v>#VALUE!</v>
      </c>
      <c r="C131" s="390" t="s">
        <v>3650</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x14ac:dyDescent="0.3">
      <c r="B132" s="402" t="e">
        <f ca="1">SUM(E132:BR132)</f>
        <v>#VALUE!</v>
      </c>
      <c r="C132" s="390" t="s">
        <v>3665</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x14ac:dyDescent="0.3">
      <c r="A133" s="675" t="s">
        <v>279</v>
      </c>
      <c r="B133" s="402" t="e">
        <f ca="1">SUM(E133:BR133)</f>
        <v>#VALUE!</v>
      </c>
      <c r="C133" s="390" t="s">
        <v>3665</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x14ac:dyDescent="0.2">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x14ac:dyDescent="0.2">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x14ac:dyDescent="0.3">
      <c r="A136" s="675" t="s">
        <v>1123</v>
      </c>
      <c r="B136" s="402" t="e">
        <f ca="1">SUM(E136:BR136)</f>
        <v>#VALUE!</v>
      </c>
      <c r="C136" s="390" t="s">
        <v>3665</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x14ac:dyDescent="0.3">
      <c r="A137" s="672" t="s">
        <v>1124</v>
      </c>
      <c r="B137" s="402" t="e">
        <f ca="1">SUM(E137:BR137)</f>
        <v>#VALUE!</v>
      </c>
      <c r="C137" s="390" t="s">
        <v>3665</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x14ac:dyDescent="0.2">
      <c r="B138" s="402" t="e">
        <f ca="1">SUM(E138:BR138)</f>
        <v>#VALUE!</v>
      </c>
      <c r="C138" s="390" t="s">
        <v>3666</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x14ac:dyDescent="0.3">
      <c r="A139" s="672" t="s">
        <v>1124</v>
      </c>
      <c r="B139" s="411" t="e">
        <f ca="1">B137/B138</f>
        <v>#VALUE!</v>
      </c>
      <c r="C139" s="390" t="s">
        <v>3650</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x14ac:dyDescent="0.3">
      <c r="A140" s="672" t="s">
        <v>1124</v>
      </c>
      <c r="B140" s="402" t="e">
        <f ca="1">SUM(E140:BR140)</f>
        <v>#VALUE!</v>
      </c>
      <c r="C140" s="390" t="s">
        <v>3665</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x14ac:dyDescent="0.3">
      <c r="A141" s="675" t="s">
        <v>1125</v>
      </c>
      <c r="B141" s="402" t="e">
        <f ca="1">SUM(E141:BR141)</f>
        <v>#VALUE!</v>
      </c>
      <c r="C141" s="390" t="s">
        <v>3665</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x14ac:dyDescent="0.3">
      <c r="A142" s="672" t="s">
        <v>1126</v>
      </c>
      <c r="B142" s="402" t="e">
        <f ca="1">SUM(E142:BR142)</f>
        <v>#VALUE!</v>
      </c>
      <c r="C142" s="390" t="s">
        <v>3665</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x14ac:dyDescent="0.2">
      <c r="B143" s="402" t="e">
        <f ca="1">SUM(E143:BR143)</f>
        <v>#VALUE!</v>
      </c>
      <c r="C143" s="390" t="s">
        <v>3666</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x14ac:dyDescent="0.3">
      <c r="A144" s="672" t="s">
        <v>1126</v>
      </c>
      <c r="B144" s="411" t="e">
        <f ca="1">B142/B143</f>
        <v>#VALUE!</v>
      </c>
      <c r="C144" s="390" t="s">
        <v>3650</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x14ac:dyDescent="0.3">
      <c r="A145" s="672" t="s">
        <v>1126</v>
      </c>
      <c r="B145" s="402" t="e">
        <f ca="1">SUM(E145:BR145)</f>
        <v>#VALUE!</v>
      </c>
      <c r="C145" s="390" t="s">
        <v>3665</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x14ac:dyDescent="0.3">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x14ac:dyDescent="0.3">
      <c r="A147" s="675" t="s">
        <v>1125</v>
      </c>
      <c r="B147" s="677" t="e">
        <f ca="1">SUM(E147:BR147)</f>
        <v>#VALUE!</v>
      </c>
      <c r="C147" s="390" t="s">
        <v>3665</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x14ac:dyDescent="0.2">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x14ac:dyDescent="0.2">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x14ac:dyDescent="0.2">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x14ac:dyDescent="0.3">
      <c r="B151" s="402"/>
      <c r="C151" s="390" t="s">
        <v>3650</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x14ac:dyDescent="0.3">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x14ac:dyDescent="0.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x14ac:dyDescent="0.2">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x14ac:dyDescent="0.3">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x14ac:dyDescent="0.3">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x14ac:dyDescent="0.3">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x14ac:dyDescent="0.3">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x14ac:dyDescent="0.3">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x14ac:dyDescent="0.3">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x14ac:dyDescent="0.3">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x14ac:dyDescent="0.3">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x14ac:dyDescent="0.2">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x14ac:dyDescent="0.2">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x14ac:dyDescent="0.3">
      <c r="B165" s="677" t="e">
        <f ca="1">SUM(E165:BR165)</f>
        <v>#VALUE!</v>
      </c>
      <c r="C165" s="390" t="s">
        <v>3665</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x14ac:dyDescent="0.3">
      <c r="B166" s="677" t="e">
        <f ca="1">SUM(E166:BR166)</f>
        <v>#REF!</v>
      </c>
      <c r="C166" s="390" t="s">
        <v>3665</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x14ac:dyDescent="0.3">
      <c r="A167" s="675" t="s">
        <v>949</v>
      </c>
      <c r="B167" s="402" t="e">
        <f ca="1">SUM(E167:BR167)</f>
        <v>#VALUE!</v>
      </c>
      <c r="C167" s="390" t="s">
        <v>3665</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x14ac:dyDescent="0.2">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x14ac:dyDescent="0.2">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x14ac:dyDescent="0.3">
      <c r="A170" s="675" t="s">
        <v>950</v>
      </c>
      <c r="B170" s="402" t="e">
        <f ca="1">SUM(E170:BR170)</f>
        <v>#REF!</v>
      </c>
      <c r="C170" s="390" t="s">
        <v>3665</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x14ac:dyDescent="0.3">
      <c r="B171" s="402" t="e">
        <f ca="1">SUM(E171:BR171)</f>
        <v>#VALUE!</v>
      </c>
      <c r="C171" s="390" t="s">
        <v>3665</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x14ac:dyDescent="0.2">
      <c r="B172" s="402" t="e">
        <f ca="1">SUM(E172:BR172)</f>
        <v>#VALUE!</v>
      </c>
      <c r="C172" s="390" t="s">
        <v>3666</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x14ac:dyDescent="0.3">
      <c r="A173" s="672" t="s">
        <v>1124</v>
      </c>
      <c r="B173" s="411" t="e">
        <f ca="1">B171/B172</f>
        <v>#VALUE!</v>
      </c>
      <c r="C173" s="390" t="s">
        <v>3650</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x14ac:dyDescent="0.3">
      <c r="A174" s="672" t="s">
        <v>1124</v>
      </c>
      <c r="B174" s="402" t="e">
        <f ca="1">SUM(E174:BR174)</f>
        <v>#VALUE!</v>
      </c>
      <c r="C174" s="390" t="s">
        <v>3665</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x14ac:dyDescent="0.3">
      <c r="A175" s="675" t="s">
        <v>951</v>
      </c>
      <c r="B175" s="402" t="e">
        <f ca="1">SUM(E175:BR175)</f>
        <v>#VALUE!</v>
      </c>
      <c r="C175" s="390" t="s">
        <v>3665</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x14ac:dyDescent="0.3">
      <c r="A176" s="672" t="s">
        <v>1126</v>
      </c>
      <c r="B176" s="402" t="e">
        <f ca="1">SUM(E176:BR176)</f>
        <v>#VALUE!</v>
      </c>
      <c r="C176" s="390" t="s">
        <v>3665</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x14ac:dyDescent="0.2">
      <c r="B177" s="402" t="e">
        <f ca="1">SUM(E177:BR177)</f>
        <v>#VALUE!</v>
      </c>
      <c r="C177" s="390" t="s">
        <v>3666</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x14ac:dyDescent="0.3">
      <c r="A178" s="672" t="s">
        <v>1126</v>
      </c>
      <c r="B178" s="411" t="e">
        <f ca="1">B176/B177</f>
        <v>#VALUE!</v>
      </c>
      <c r="C178" s="390" t="s">
        <v>3650</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x14ac:dyDescent="0.3">
      <c r="A179" s="672" t="s">
        <v>1126</v>
      </c>
      <c r="B179" s="402" t="e">
        <f ca="1">SUM(E179:BR179)</f>
        <v>#VALUE!</v>
      </c>
      <c r="C179" s="390" t="s">
        <v>3665</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x14ac:dyDescent="0.3">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x14ac:dyDescent="0.3">
      <c r="A181" s="675" t="s">
        <v>952</v>
      </c>
      <c r="B181" s="402" t="e">
        <f ca="1">SUM(E181:BR181)</f>
        <v>#VALUE!</v>
      </c>
      <c r="C181" s="390" t="s">
        <v>3665</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x14ac:dyDescent="0.2">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x14ac:dyDescent="0.2">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x14ac:dyDescent="0.3">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x14ac:dyDescent="0.3">
      <c r="A185" s="672" t="s">
        <v>1796</v>
      </c>
      <c r="B185" s="402" t="e">
        <f ca="1">SUM(E185:BR185)</f>
        <v>#VALUE!</v>
      </c>
      <c r="C185" s="390" t="s">
        <v>3665</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x14ac:dyDescent="0.3">
      <c r="A186" s="672" t="s">
        <v>1798</v>
      </c>
      <c r="B186" s="402" t="e">
        <f ca="1">SUM(E186:BR186)</f>
        <v>#VALUE!</v>
      </c>
      <c r="C186" s="390" t="s">
        <v>3665</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x14ac:dyDescent="0.2">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x14ac:dyDescent="0.2">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x14ac:dyDescent="0.2">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x14ac:dyDescent="0.2">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x14ac:dyDescent="0.2">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x14ac:dyDescent="0.2">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x14ac:dyDescent="0.2">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x14ac:dyDescent="0.2">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x14ac:dyDescent="0.2">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x14ac:dyDescent="0.2">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x14ac:dyDescent="0.2">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x14ac:dyDescent="0.2">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x14ac:dyDescent="0.2">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x14ac:dyDescent="0.2">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x14ac:dyDescent="0.2">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x14ac:dyDescent="0.2">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x14ac:dyDescent="0.2">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x14ac:dyDescent="0.2">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x14ac:dyDescent="0.2">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x14ac:dyDescent="0.2">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x14ac:dyDescent="0.2">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x14ac:dyDescent="0.2">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x14ac:dyDescent="0.2">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x14ac:dyDescent="0.2">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x14ac:dyDescent="0.2">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x14ac:dyDescent="0.2">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x14ac:dyDescent="0.2">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x14ac:dyDescent="0.2">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x14ac:dyDescent="0.2">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x14ac:dyDescent="0.2">
      <c r="F216" s="412" t="s">
        <v>3525</v>
      </c>
      <c r="G216" s="412" t="s">
        <v>3526</v>
      </c>
      <c r="H216" s="412" t="s">
        <v>3527</v>
      </c>
      <c r="J216" s="412"/>
      <c r="K216" s="412" t="s">
        <v>211</v>
      </c>
      <c r="L216" s="412" t="s">
        <v>3528</v>
      </c>
      <c r="N216" s="412" t="s">
        <v>3529</v>
      </c>
      <c r="P216" s="412" t="s">
        <v>212</v>
      </c>
      <c r="Q216" s="412" t="s">
        <v>3530</v>
      </c>
    </row>
    <row r="218" spans="2:70" x14ac:dyDescent="0.2">
      <c r="K218" s="390">
        <v>0</v>
      </c>
      <c r="L218" s="390">
        <v>0</v>
      </c>
      <c r="P218" s="390">
        <v>0</v>
      </c>
      <c r="Q218" s="390">
        <v>0</v>
      </c>
    </row>
    <row r="219" spans="2:70" x14ac:dyDescent="0.2">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x14ac:dyDescent="0.2">
      <c r="K220" s="390" t="e">
        <f ca="1">K218+H219</f>
        <v>#N/A</v>
      </c>
      <c r="L220" s="390" t="e">
        <f>L219</f>
        <v>#VALUE!</v>
      </c>
      <c r="P220" s="390" t="e">
        <f ca="1">P218+N219</f>
        <v>#N/A</v>
      </c>
      <c r="Q220" s="390" t="e">
        <f>Q219</f>
        <v>#VALUE!</v>
      </c>
    </row>
    <row r="221" spans="2:70" x14ac:dyDescent="0.2">
      <c r="K221" s="390" t="e">
        <f ca="1">K220</f>
        <v>#N/A</v>
      </c>
      <c r="L221" s="390">
        <v>0</v>
      </c>
      <c r="P221" s="390" t="e">
        <f ca="1">P220</f>
        <v>#N/A</v>
      </c>
      <c r="Q221" s="390">
        <v>0</v>
      </c>
    </row>
    <row r="222" spans="2:70" x14ac:dyDescent="0.2">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x14ac:dyDescent="0.2">
      <c r="K223" s="390" t="e">
        <f ca="1">K222+H222</f>
        <v>#N/A</v>
      </c>
      <c r="L223" s="390" t="e">
        <f>L222</f>
        <v>#VALUE!</v>
      </c>
      <c r="P223" s="390" t="e">
        <f ca="1">P221+N222</f>
        <v>#N/A</v>
      </c>
      <c r="Q223" s="390" t="e">
        <f>Q222</f>
        <v>#VALUE!</v>
      </c>
    </row>
    <row r="224" spans="2:70" x14ac:dyDescent="0.2">
      <c r="K224" s="390" t="e">
        <f ca="1">K223</f>
        <v>#N/A</v>
      </c>
      <c r="L224" s="390">
        <v>0</v>
      </c>
      <c r="P224" s="390" t="e">
        <f ca="1">P223</f>
        <v>#N/A</v>
      </c>
      <c r="Q224" s="390">
        <v>0</v>
      </c>
    </row>
    <row r="225" spans="6:17" x14ac:dyDescent="0.2">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x14ac:dyDescent="0.2">
      <c r="K226" s="390" t="e">
        <f ca="1">K225+H225</f>
        <v>#N/A</v>
      </c>
      <c r="L226" s="390" t="e">
        <f>L225</f>
        <v>#VALUE!</v>
      </c>
      <c r="P226" s="390" t="e">
        <f ca="1">P224+N225</f>
        <v>#N/A</v>
      </c>
      <c r="Q226" s="390" t="e">
        <f>Q225</f>
        <v>#VALUE!</v>
      </c>
    </row>
    <row r="227" spans="6:17" x14ac:dyDescent="0.2">
      <c r="K227" s="390" t="e">
        <f ca="1">K226</f>
        <v>#N/A</v>
      </c>
      <c r="L227" s="390">
        <v>0</v>
      </c>
      <c r="P227" s="390" t="e">
        <f ca="1">P226</f>
        <v>#N/A</v>
      </c>
      <c r="Q227" s="390">
        <v>0</v>
      </c>
    </row>
    <row r="228" spans="6:17" x14ac:dyDescent="0.2">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x14ac:dyDescent="0.2">
      <c r="K229" s="390" t="e">
        <f ca="1">K228+H228</f>
        <v>#N/A</v>
      </c>
      <c r="L229" s="390" t="e">
        <f>L228</f>
        <v>#VALUE!</v>
      </c>
      <c r="P229" s="390" t="e">
        <f ca="1">P227+N228</f>
        <v>#N/A</v>
      </c>
      <c r="Q229" s="390" t="e">
        <f>Q228</f>
        <v>#VALUE!</v>
      </c>
    </row>
    <row r="230" spans="6:17" x14ac:dyDescent="0.2">
      <c r="K230" s="390" t="e">
        <f ca="1">K229</f>
        <v>#N/A</v>
      </c>
      <c r="L230" s="390">
        <v>0</v>
      </c>
      <c r="P230" s="390" t="e">
        <f ca="1">P229</f>
        <v>#N/A</v>
      </c>
      <c r="Q230" s="390">
        <v>0</v>
      </c>
    </row>
    <row r="231" spans="6:17" x14ac:dyDescent="0.2">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x14ac:dyDescent="0.2">
      <c r="K232" s="390" t="e">
        <f ca="1">K231+H231</f>
        <v>#N/A</v>
      </c>
      <c r="L232" s="390" t="e">
        <f>L231</f>
        <v>#VALUE!</v>
      </c>
      <c r="P232" s="390" t="e">
        <f ca="1">P230+N231</f>
        <v>#N/A</v>
      </c>
      <c r="Q232" s="390" t="e">
        <f>Q231</f>
        <v>#VALUE!</v>
      </c>
    </row>
    <row r="233" spans="6:17" x14ac:dyDescent="0.2">
      <c r="K233" s="390" t="e">
        <f ca="1">K232</f>
        <v>#N/A</v>
      </c>
      <c r="L233" s="390">
        <v>0</v>
      </c>
      <c r="P233" s="390" t="e">
        <f ca="1">P232</f>
        <v>#N/A</v>
      </c>
      <c r="Q233" s="390">
        <v>0</v>
      </c>
    </row>
    <row r="234" spans="6:17" x14ac:dyDescent="0.2">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x14ac:dyDescent="0.2">
      <c r="K235" s="390" t="e">
        <f ca="1">K234+H234</f>
        <v>#N/A</v>
      </c>
      <c r="L235" s="390" t="e">
        <f>L234</f>
        <v>#VALUE!</v>
      </c>
      <c r="P235" s="390" t="e">
        <f ca="1">P233+N234</f>
        <v>#N/A</v>
      </c>
      <c r="Q235" s="390" t="e">
        <f>Q234</f>
        <v>#VALUE!</v>
      </c>
    </row>
    <row r="236" spans="6:17" x14ac:dyDescent="0.2">
      <c r="K236" s="390" t="e">
        <f ca="1">K235</f>
        <v>#N/A</v>
      </c>
      <c r="L236" s="390">
        <v>0</v>
      </c>
      <c r="P236" s="390" t="e">
        <f ca="1">P235</f>
        <v>#N/A</v>
      </c>
      <c r="Q236" s="390">
        <v>0</v>
      </c>
    </row>
    <row r="237" spans="6:17" x14ac:dyDescent="0.2">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x14ac:dyDescent="0.2">
      <c r="K238" s="390" t="e">
        <f ca="1">K237+H237</f>
        <v>#N/A</v>
      </c>
      <c r="L238" s="390" t="e">
        <f>L237</f>
        <v>#VALUE!</v>
      </c>
      <c r="P238" s="390" t="e">
        <f ca="1">P236+N237</f>
        <v>#N/A</v>
      </c>
      <c r="Q238" s="390" t="e">
        <f>Q237</f>
        <v>#VALUE!</v>
      </c>
    </row>
    <row r="239" spans="6:17" x14ac:dyDescent="0.2">
      <c r="K239" s="390" t="e">
        <f ca="1">K238</f>
        <v>#N/A</v>
      </c>
      <c r="L239" s="390">
        <v>0</v>
      </c>
      <c r="P239" s="390" t="e">
        <f ca="1">P238</f>
        <v>#N/A</v>
      </c>
      <c r="Q239" s="390">
        <v>0</v>
      </c>
    </row>
    <row r="240" spans="6:17" x14ac:dyDescent="0.2">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x14ac:dyDescent="0.2">
      <c r="K241" s="390" t="e">
        <f ca="1">K240+H240</f>
        <v>#N/A</v>
      </c>
      <c r="L241" s="390" t="e">
        <f>L240</f>
        <v>#VALUE!</v>
      </c>
      <c r="P241" s="390" t="e">
        <f ca="1">P239+N240</f>
        <v>#N/A</v>
      </c>
      <c r="Q241" s="390" t="e">
        <f>Q240</f>
        <v>#VALUE!</v>
      </c>
    </row>
    <row r="242" spans="6:17" x14ac:dyDescent="0.2">
      <c r="K242" s="390" t="e">
        <f ca="1">K241</f>
        <v>#N/A</v>
      </c>
      <c r="L242" s="390">
        <v>0</v>
      </c>
      <c r="P242" s="390" t="e">
        <f ca="1">P241</f>
        <v>#N/A</v>
      </c>
      <c r="Q242" s="390">
        <v>0</v>
      </c>
    </row>
    <row r="243" spans="6:17" x14ac:dyDescent="0.2">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x14ac:dyDescent="0.2">
      <c r="K244" s="390" t="e">
        <f ca="1">K243+H243</f>
        <v>#N/A</v>
      </c>
      <c r="L244" s="390" t="e">
        <f>L243</f>
        <v>#VALUE!</v>
      </c>
      <c r="P244" s="390" t="e">
        <f ca="1">P242+N243</f>
        <v>#N/A</v>
      </c>
      <c r="Q244" s="390" t="e">
        <f>Q243</f>
        <v>#VALUE!</v>
      </c>
    </row>
    <row r="245" spans="6:17" x14ac:dyDescent="0.2">
      <c r="K245" s="390" t="e">
        <f ca="1">K244</f>
        <v>#N/A</v>
      </c>
      <c r="L245" s="390">
        <v>0</v>
      </c>
      <c r="P245" s="390" t="e">
        <f ca="1">P244</f>
        <v>#N/A</v>
      </c>
      <c r="Q245" s="390">
        <v>0</v>
      </c>
    </row>
    <row r="246" spans="6:17" x14ac:dyDescent="0.2">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x14ac:dyDescent="0.2">
      <c r="K247" s="390" t="e">
        <f ca="1">K246+H246</f>
        <v>#N/A</v>
      </c>
      <c r="L247" s="390" t="e">
        <f>L246</f>
        <v>#VALUE!</v>
      </c>
      <c r="P247" s="390" t="e">
        <f ca="1">P245+N246</f>
        <v>#N/A</v>
      </c>
      <c r="Q247" s="390" t="e">
        <f>Q246</f>
        <v>#VALUE!</v>
      </c>
    </row>
    <row r="248" spans="6:17" x14ac:dyDescent="0.2">
      <c r="K248" s="390" t="e">
        <f ca="1">K247</f>
        <v>#N/A</v>
      </c>
      <c r="L248" s="390">
        <v>0</v>
      </c>
      <c r="P248" s="390" t="e">
        <f ca="1">P247</f>
        <v>#N/A</v>
      </c>
      <c r="Q248" s="390">
        <v>0</v>
      </c>
    </row>
    <row r="249" spans="6:17" x14ac:dyDescent="0.2">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x14ac:dyDescent="0.2">
      <c r="K250" s="390" t="e">
        <f ca="1">K249+H249</f>
        <v>#N/A</v>
      </c>
      <c r="L250" s="390" t="e">
        <f>L249</f>
        <v>#VALUE!</v>
      </c>
      <c r="P250" s="390" t="e">
        <f ca="1">P248+N249</f>
        <v>#N/A</v>
      </c>
      <c r="Q250" s="390" t="e">
        <f>Q249</f>
        <v>#VALUE!</v>
      </c>
    </row>
    <row r="251" spans="6:17" x14ac:dyDescent="0.2">
      <c r="K251" s="390" t="e">
        <f ca="1">K250</f>
        <v>#N/A</v>
      </c>
      <c r="L251" s="390">
        <v>0</v>
      </c>
      <c r="P251" s="390" t="e">
        <f ca="1">P250</f>
        <v>#N/A</v>
      </c>
      <c r="Q251" s="390">
        <v>0</v>
      </c>
    </row>
    <row r="252" spans="6:17" x14ac:dyDescent="0.2">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x14ac:dyDescent="0.2">
      <c r="K253" s="390" t="e">
        <f ca="1">K252+H252</f>
        <v>#N/A</v>
      </c>
      <c r="L253" s="390" t="e">
        <f>L252</f>
        <v>#VALUE!</v>
      </c>
      <c r="P253" s="390" t="e">
        <f ca="1">P251+N252</f>
        <v>#N/A</v>
      </c>
      <c r="Q253" s="390" t="e">
        <f>Q252</f>
        <v>#VALUE!</v>
      </c>
    </row>
    <row r="254" spans="6:17" x14ac:dyDescent="0.2">
      <c r="K254" s="390" t="e">
        <f ca="1">K253</f>
        <v>#N/A</v>
      </c>
      <c r="L254" s="390">
        <v>0</v>
      </c>
      <c r="P254" s="390" t="e">
        <f ca="1">P253</f>
        <v>#N/A</v>
      </c>
      <c r="Q254" s="390">
        <v>0</v>
      </c>
    </row>
    <row r="255" spans="6:17" x14ac:dyDescent="0.2">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x14ac:dyDescent="0.2">
      <c r="K256" s="390" t="e">
        <f ca="1">K255+H255</f>
        <v>#N/A</v>
      </c>
      <c r="L256" s="390" t="e">
        <f>L255</f>
        <v>#VALUE!</v>
      </c>
      <c r="P256" s="390" t="e">
        <f ca="1">P254+N255</f>
        <v>#N/A</v>
      </c>
      <c r="Q256" s="390" t="e">
        <f>Q255</f>
        <v>#VALUE!</v>
      </c>
    </row>
    <row r="257" spans="6:17" x14ac:dyDescent="0.2">
      <c r="K257" s="390" t="e">
        <f ca="1">K256</f>
        <v>#N/A</v>
      </c>
      <c r="L257" s="390">
        <v>0</v>
      </c>
      <c r="P257" s="390" t="e">
        <f ca="1">P256</f>
        <v>#N/A</v>
      </c>
      <c r="Q257" s="390">
        <v>0</v>
      </c>
    </row>
    <row r="258" spans="6:17" x14ac:dyDescent="0.2">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x14ac:dyDescent="0.2">
      <c r="K259" s="390" t="e">
        <f ca="1">K258+H258</f>
        <v>#N/A</v>
      </c>
      <c r="L259" s="390" t="e">
        <f>L258</f>
        <v>#VALUE!</v>
      </c>
      <c r="P259" s="390" t="e">
        <f ca="1">P257+N258</f>
        <v>#N/A</v>
      </c>
      <c r="Q259" s="390" t="e">
        <f>Q258</f>
        <v>#VALUE!</v>
      </c>
    </row>
    <row r="260" spans="6:17" x14ac:dyDescent="0.2">
      <c r="K260" s="390" t="e">
        <f ca="1">K259</f>
        <v>#N/A</v>
      </c>
      <c r="L260" s="390">
        <v>0</v>
      </c>
      <c r="P260" s="390" t="e">
        <f ca="1">P259</f>
        <v>#N/A</v>
      </c>
      <c r="Q260" s="390">
        <v>0</v>
      </c>
    </row>
    <row r="261" spans="6:17" x14ac:dyDescent="0.2">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x14ac:dyDescent="0.2">
      <c r="K262" s="390" t="e">
        <f ca="1">K261+H261</f>
        <v>#N/A</v>
      </c>
      <c r="L262" s="390" t="e">
        <f>L261</f>
        <v>#VALUE!</v>
      </c>
      <c r="P262" s="390" t="e">
        <f ca="1">P260+N261</f>
        <v>#N/A</v>
      </c>
      <c r="Q262" s="390" t="e">
        <f>Q261</f>
        <v>#VALUE!</v>
      </c>
    </row>
    <row r="263" spans="6:17" x14ac:dyDescent="0.2">
      <c r="K263" s="390" t="e">
        <f ca="1">K262</f>
        <v>#N/A</v>
      </c>
      <c r="L263" s="390">
        <v>0</v>
      </c>
      <c r="P263" s="390" t="e">
        <f ca="1">P262</f>
        <v>#N/A</v>
      </c>
      <c r="Q263" s="390">
        <v>0</v>
      </c>
    </row>
    <row r="264" spans="6:17" x14ac:dyDescent="0.2">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x14ac:dyDescent="0.2">
      <c r="K265" s="390" t="e">
        <f ca="1">K264+H264</f>
        <v>#N/A</v>
      </c>
      <c r="L265" s="390" t="e">
        <f>L264</f>
        <v>#VALUE!</v>
      </c>
      <c r="P265" s="390" t="e">
        <f ca="1">P263+N264</f>
        <v>#N/A</v>
      </c>
      <c r="Q265" s="390" t="e">
        <f>Q264</f>
        <v>#VALUE!</v>
      </c>
    </row>
    <row r="266" spans="6:17" x14ac:dyDescent="0.2">
      <c r="K266" s="390" t="e">
        <f ca="1">K265</f>
        <v>#N/A</v>
      </c>
      <c r="L266" s="390">
        <v>0</v>
      </c>
      <c r="P266" s="390" t="e">
        <f ca="1">P265</f>
        <v>#N/A</v>
      </c>
      <c r="Q266" s="390">
        <v>0</v>
      </c>
    </row>
    <row r="267" spans="6:17" x14ac:dyDescent="0.2">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x14ac:dyDescent="0.2">
      <c r="K268" s="390" t="e">
        <f ca="1">K267+H267</f>
        <v>#N/A</v>
      </c>
      <c r="L268" s="390" t="e">
        <f>L267</f>
        <v>#VALUE!</v>
      </c>
      <c r="P268" s="390" t="e">
        <f ca="1">P266+N267</f>
        <v>#N/A</v>
      </c>
      <c r="Q268" s="390" t="e">
        <f>Q267</f>
        <v>#VALUE!</v>
      </c>
    </row>
    <row r="269" spans="6:17" x14ac:dyDescent="0.2">
      <c r="K269" s="390" t="e">
        <f ca="1">K268</f>
        <v>#N/A</v>
      </c>
      <c r="L269" s="390">
        <v>0</v>
      </c>
      <c r="P269" s="390" t="e">
        <f ca="1">P268</f>
        <v>#N/A</v>
      </c>
      <c r="Q269" s="390">
        <v>0</v>
      </c>
    </row>
    <row r="270" spans="6:17" x14ac:dyDescent="0.2">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x14ac:dyDescent="0.2">
      <c r="K271" s="390" t="e">
        <f ca="1">K270+H270</f>
        <v>#N/A</v>
      </c>
      <c r="L271" s="390" t="e">
        <f>L270</f>
        <v>#VALUE!</v>
      </c>
      <c r="P271" s="390" t="e">
        <f ca="1">P269+N270</f>
        <v>#N/A</v>
      </c>
      <c r="Q271" s="390" t="e">
        <f>Q270</f>
        <v>#VALUE!</v>
      </c>
    </row>
    <row r="272" spans="6:17" x14ac:dyDescent="0.2">
      <c r="K272" s="390" t="e">
        <f ca="1">K271</f>
        <v>#N/A</v>
      </c>
      <c r="L272" s="390">
        <v>0</v>
      </c>
      <c r="P272" s="390" t="e">
        <f ca="1">P271</f>
        <v>#N/A</v>
      </c>
      <c r="Q272" s="390">
        <v>0</v>
      </c>
    </row>
    <row r="273" spans="6:17" x14ac:dyDescent="0.2">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x14ac:dyDescent="0.2">
      <c r="K274" s="390" t="e">
        <f ca="1">K273+H273</f>
        <v>#N/A</v>
      </c>
      <c r="L274" s="390" t="e">
        <f>L273</f>
        <v>#VALUE!</v>
      </c>
      <c r="P274" s="390" t="e">
        <f ca="1">P272+N273</f>
        <v>#N/A</v>
      </c>
      <c r="Q274" s="390" t="e">
        <f>Q273</f>
        <v>#VALUE!</v>
      </c>
    </row>
    <row r="275" spans="6:17" x14ac:dyDescent="0.2">
      <c r="K275" s="390" t="e">
        <f ca="1">K274</f>
        <v>#N/A</v>
      </c>
      <c r="L275" s="390">
        <v>0</v>
      </c>
      <c r="P275" s="390" t="e">
        <f ca="1">P274</f>
        <v>#N/A</v>
      </c>
      <c r="Q275" s="390">
        <v>0</v>
      </c>
    </row>
    <row r="276" spans="6:17" x14ac:dyDescent="0.2">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x14ac:dyDescent="0.2">
      <c r="K277" s="390" t="e">
        <f ca="1">K276+H276</f>
        <v>#N/A</v>
      </c>
      <c r="L277" s="390" t="e">
        <f>L276</f>
        <v>#VALUE!</v>
      </c>
      <c r="P277" s="390" t="e">
        <f ca="1">P275+N276</f>
        <v>#N/A</v>
      </c>
      <c r="Q277" s="390" t="e">
        <f>Q276</f>
        <v>#VALUE!</v>
      </c>
    </row>
    <row r="278" spans="6:17" x14ac:dyDescent="0.2">
      <c r="K278" s="390" t="e">
        <f ca="1">K277</f>
        <v>#N/A</v>
      </c>
      <c r="L278" s="390">
        <v>0</v>
      </c>
      <c r="P278" s="390" t="e">
        <f ca="1">P277</f>
        <v>#N/A</v>
      </c>
      <c r="Q278" s="390">
        <v>0</v>
      </c>
    </row>
    <row r="279" spans="6:17" x14ac:dyDescent="0.2">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x14ac:dyDescent="0.2">
      <c r="K280" s="390" t="e">
        <f ca="1">K279+H279</f>
        <v>#N/A</v>
      </c>
      <c r="L280" s="390" t="e">
        <f>L279</f>
        <v>#VALUE!</v>
      </c>
      <c r="P280" s="390" t="e">
        <f ca="1">P278+N279</f>
        <v>#N/A</v>
      </c>
      <c r="Q280" s="390" t="e">
        <f>Q279</f>
        <v>#VALUE!</v>
      </c>
    </row>
    <row r="281" spans="6:17" x14ac:dyDescent="0.2">
      <c r="K281" s="390" t="e">
        <f ca="1">K280</f>
        <v>#N/A</v>
      </c>
      <c r="L281" s="390">
        <v>0</v>
      </c>
      <c r="P281" s="390" t="e">
        <f ca="1">P280</f>
        <v>#N/A</v>
      </c>
      <c r="Q281" s="390">
        <v>0</v>
      </c>
    </row>
    <row r="282" spans="6:17" x14ac:dyDescent="0.2">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x14ac:dyDescent="0.2">
      <c r="K283" s="390" t="e">
        <f ca="1">K282+H282</f>
        <v>#N/A</v>
      </c>
      <c r="L283" s="390" t="e">
        <f>L282</f>
        <v>#VALUE!</v>
      </c>
      <c r="P283" s="390" t="e">
        <f ca="1">P281+N282</f>
        <v>#N/A</v>
      </c>
      <c r="Q283" s="390" t="e">
        <f>Q282</f>
        <v>#VALUE!</v>
      </c>
    </row>
    <row r="284" spans="6:17" x14ac:dyDescent="0.2">
      <c r="K284" s="390" t="e">
        <f ca="1">K283</f>
        <v>#N/A</v>
      </c>
      <c r="L284" s="390">
        <v>0</v>
      </c>
      <c r="P284" s="390" t="e">
        <f ca="1">P283</f>
        <v>#N/A</v>
      </c>
      <c r="Q284" s="390">
        <v>0</v>
      </c>
    </row>
    <row r="285" spans="6:17" x14ac:dyDescent="0.2">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x14ac:dyDescent="0.2">
      <c r="K286" s="390" t="e">
        <f ca="1">K285+H285</f>
        <v>#N/A</v>
      </c>
      <c r="L286" s="390" t="e">
        <f>L285</f>
        <v>#VALUE!</v>
      </c>
      <c r="P286" s="390" t="e">
        <f ca="1">P284+N285</f>
        <v>#N/A</v>
      </c>
      <c r="Q286" s="390" t="e">
        <f>Q285</f>
        <v>#VALUE!</v>
      </c>
    </row>
    <row r="287" spans="6:17" x14ac:dyDescent="0.2">
      <c r="K287" s="390" t="e">
        <f ca="1">K286</f>
        <v>#N/A</v>
      </c>
      <c r="L287" s="390">
        <v>0</v>
      </c>
      <c r="P287" s="390" t="e">
        <f ca="1">P286</f>
        <v>#N/A</v>
      </c>
      <c r="Q287" s="390">
        <v>0</v>
      </c>
    </row>
    <row r="288" spans="6:17" x14ac:dyDescent="0.2">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x14ac:dyDescent="0.2">
      <c r="K289" s="390" t="e">
        <f ca="1">K288+H288</f>
        <v>#N/A</v>
      </c>
      <c r="L289" s="390" t="e">
        <f>L288</f>
        <v>#VALUE!</v>
      </c>
      <c r="P289" s="390" t="e">
        <f ca="1">P287+N288</f>
        <v>#N/A</v>
      </c>
      <c r="Q289" s="390" t="e">
        <f>Q288</f>
        <v>#VALUE!</v>
      </c>
    </row>
    <row r="290" spans="6:17" x14ac:dyDescent="0.2">
      <c r="K290" s="390" t="e">
        <f ca="1">K289</f>
        <v>#N/A</v>
      </c>
      <c r="L290" s="390">
        <v>0</v>
      </c>
      <c r="P290" s="390" t="e">
        <f ca="1">P289</f>
        <v>#N/A</v>
      </c>
      <c r="Q290" s="390">
        <v>0</v>
      </c>
    </row>
    <row r="291" spans="6:17" x14ac:dyDescent="0.2">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x14ac:dyDescent="0.2">
      <c r="K292" s="390" t="e">
        <f ca="1">K291+H291</f>
        <v>#N/A</v>
      </c>
      <c r="L292" s="390" t="e">
        <f>L291</f>
        <v>#VALUE!</v>
      </c>
      <c r="P292" s="390" t="e">
        <f ca="1">P290+N291</f>
        <v>#N/A</v>
      </c>
      <c r="Q292" s="390" t="e">
        <f>Q291</f>
        <v>#VALUE!</v>
      </c>
    </row>
    <row r="293" spans="6:17" x14ac:dyDescent="0.2">
      <c r="K293" s="390" t="e">
        <f ca="1">K292</f>
        <v>#N/A</v>
      </c>
      <c r="L293" s="390">
        <v>0</v>
      </c>
      <c r="P293" s="390" t="e">
        <f ca="1">P292</f>
        <v>#N/A</v>
      </c>
      <c r="Q293" s="390">
        <v>0</v>
      </c>
    </row>
    <row r="294" spans="6:17" x14ac:dyDescent="0.2">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x14ac:dyDescent="0.2">
      <c r="K295" s="390" t="e">
        <f ca="1">K294+H294</f>
        <v>#N/A</v>
      </c>
      <c r="L295" s="390" t="e">
        <f>L294</f>
        <v>#VALUE!</v>
      </c>
      <c r="P295" s="390" t="e">
        <f ca="1">P293+N294</f>
        <v>#N/A</v>
      </c>
      <c r="Q295" s="390" t="e">
        <f>Q294</f>
        <v>#VALUE!</v>
      </c>
    </row>
    <row r="296" spans="6:17" x14ac:dyDescent="0.2">
      <c r="K296" s="390" t="e">
        <f ca="1">K295</f>
        <v>#N/A</v>
      </c>
      <c r="L296" s="390">
        <v>0</v>
      </c>
      <c r="P296" s="390" t="e">
        <f ca="1">P295</f>
        <v>#N/A</v>
      </c>
      <c r="Q296" s="390">
        <v>0</v>
      </c>
    </row>
    <row r="297" spans="6:17" x14ac:dyDescent="0.2">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x14ac:dyDescent="0.2">
      <c r="K298" s="390" t="e">
        <f ca="1">K297+H297</f>
        <v>#N/A</v>
      </c>
      <c r="L298" s="390" t="e">
        <f>L297</f>
        <v>#VALUE!</v>
      </c>
      <c r="P298" s="390" t="e">
        <f ca="1">P296+N297</f>
        <v>#N/A</v>
      </c>
      <c r="Q298" s="390" t="e">
        <f>Q297</f>
        <v>#VALUE!</v>
      </c>
    </row>
    <row r="299" spans="6:17" x14ac:dyDescent="0.2">
      <c r="K299" s="390" t="e">
        <f ca="1">K298</f>
        <v>#N/A</v>
      </c>
      <c r="L299" s="390">
        <v>0</v>
      </c>
      <c r="P299" s="390" t="e">
        <f ca="1">P298</f>
        <v>#N/A</v>
      </c>
      <c r="Q299" s="390">
        <v>0</v>
      </c>
    </row>
    <row r="300" spans="6:17" x14ac:dyDescent="0.2">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x14ac:dyDescent="0.2">
      <c r="K301" s="390" t="e">
        <f ca="1">K300+H300</f>
        <v>#N/A</v>
      </c>
      <c r="L301" s="390" t="e">
        <f>L300</f>
        <v>#VALUE!</v>
      </c>
      <c r="P301" s="390" t="e">
        <f ca="1">P299+N300</f>
        <v>#N/A</v>
      </c>
      <c r="Q301" s="390" t="e">
        <f>Q300</f>
        <v>#VALUE!</v>
      </c>
    </row>
    <row r="302" spans="6:17" x14ac:dyDescent="0.2">
      <c r="K302" s="390" t="e">
        <f ca="1">K301</f>
        <v>#N/A</v>
      </c>
      <c r="L302" s="390">
        <v>0</v>
      </c>
      <c r="P302" s="390" t="e">
        <f ca="1">P301</f>
        <v>#N/A</v>
      </c>
      <c r="Q302" s="390">
        <v>0</v>
      </c>
    </row>
    <row r="303" spans="6:17" x14ac:dyDescent="0.2">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x14ac:dyDescent="0.2">
      <c r="K304" s="390" t="e">
        <f ca="1">K303+H303</f>
        <v>#N/A</v>
      </c>
      <c r="L304" s="390" t="e">
        <f>L303</f>
        <v>#VALUE!</v>
      </c>
      <c r="P304" s="390" t="e">
        <f ca="1">P302+N303</f>
        <v>#N/A</v>
      </c>
      <c r="Q304" s="390" t="e">
        <f>Q303</f>
        <v>#VALUE!</v>
      </c>
    </row>
    <row r="305" spans="6:17" x14ac:dyDescent="0.2">
      <c r="K305" s="390" t="e">
        <f ca="1">K304</f>
        <v>#N/A</v>
      </c>
      <c r="L305" s="390">
        <v>0</v>
      </c>
      <c r="P305" s="390" t="e">
        <f ca="1">P304</f>
        <v>#N/A</v>
      </c>
      <c r="Q305" s="390">
        <v>0</v>
      </c>
    </row>
    <row r="306" spans="6:17" x14ac:dyDescent="0.2">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x14ac:dyDescent="0.2">
      <c r="K307" s="390" t="e">
        <f ca="1">K306+H306</f>
        <v>#N/A</v>
      </c>
      <c r="L307" s="390" t="e">
        <f>L306</f>
        <v>#VALUE!</v>
      </c>
      <c r="P307" s="390" t="e">
        <f ca="1">P305+N306</f>
        <v>#N/A</v>
      </c>
      <c r="Q307" s="390" t="e">
        <f>Q306</f>
        <v>#VALUE!</v>
      </c>
    </row>
    <row r="308" spans="6:17" x14ac:dyDescent="0.2">
      <c r="K308" s="390" t="e">
        <f ca="1">K307</f>
        <v>#N/A</v>
      </c>
      <c r="L308" s="390">
        <v>0</v>
      </c>
      <c r="P308" s="390" t="e">
        <f ca="1">P307</f>
        <v>#N/A</v>
      </c>
      <c r="Q308" s="390">
        <v>0</v>
      </c>
    </row>
    <row r="309" spans="6:17" x14ac:dyDescent="0.2">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x14ac:dyDescent="0.2">
      <c r="K310" s="390" t="e">
        <f ca="1">K309+H309</f>
        <v>#N/A</v>
      </c>
      <c r="L310" s="390" t="e">
        <f>L309</f>
        <v>#VALUE!</v>
      </c>
      <c r="P310" s="390" t="e">
        <f ca="1">P308+N309</f>
        <v>#N/A</v>
      </c>
      <c r="Q310" s="390" t="e">
        <f>Q309</f>
        <v>#VALUE!</v>
      </c>
    </row>
    <row r="311" spans="6:17" x14ac:dyDescent="0.2">
      <c r="K311" s="390" t="e">
        <f ca="1">K310</f>
        <v>#N/A</v>
      </c>
      <c r="L311" s="390">
        <v>0</v>
      </c>
      <c r="P311" s="390" t="e">
        <f ca="1">P310</f>
        <v>#N/A</v>
      </c>
      <c r="Q311" s="390">
        <v>0</v>
      </c>
    </row>
    <row r="312" spans="6:17" x14ac:dyDescent="0.2">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x14ac:dyDescent="0.2">
      <c r="K313" s="390" t="e">
        <f ca="1">K312+H312</f>
        <v>#N/A</v>
      </c>
      <c r="L313" s="390" t="e">
        <f>L312</f>
        <v>#VALUE!</v>
      </c>
      <c r="P313" s="390" t="e">
        <f ca="1">P311+N312</f>
        <v>#N/A</v>
      </c>
      <c r="Q313" s="390" t="e">
        <f>Q312</f>
        <v>#VALUE!</v>
      </c>
    </row>
    <row r="314" spans="6:17" x14ac:dyDescent="0.2">
      <c r="K314" s="390" t="e">
        <f ca="1">K313</f>
        <v>#N/A</v>
      </c>
      <c r="L314" s="390">
        <v>0</v>
      </c>
      <c r="P314" s="390" t="e">
        <f ca="1">P313</f>
        <v>#N/A</v>
      </c>
      <c r="Q314" s="390">
        <v>0</v>
      </c>
    </row>
    <row r="315" spans="6:17" x14ac:dyDescent="0.2">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x14ac:dyDescent="0.2">
      <c r="K316" s="390" t="e">
        <f ca="1">K315+H315</f>
        <v>#N/A</v>
      </c>
      <c r="L316" s="390" t="e">
        <f>L315</f>
        <v>#VALUE!</v>
      </c>
      <c r="P316" s="390" t="e">
        <f ca="1">P314+N315</f>
        <v>#N/A</v>
      </c>
      <c r="Q316" s="390" t="e">
        <f>Q315</f>
        <v>#VALUE!</v>
      </c>
    </row>
    <row r="317" spans="6:17" x14ac:dyDescent="0.2">
      <c r="K317" s="390" t="e">
        <f ca="1">K316</f>
        <v>#N/A</v>
      </c>
      <c r="L317" s="390">
        <v>0</v>
      </c>
      <c r="P317" s="390" t="e">
        <f ca="1">P316</f>
        <v>#N/A</v>
      </c>
      <c r="Q317" s="390">
        <v>0</v>
      </c>
    </row>
    <row r="318" spans="6:17" x14ac:dyDescent="0.2">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x14ac:dyDescent="0.2">
      <c r="K319" s="390" t="e">
        <f ca="1">K318+H318</f>
        <v>#N/A</v>
      </c>
      <c r="L319" s="390" t="e">
        <f>L318</f>
        <v>#VALUE!</v>
      </c>
      <c r="P319" s="390" t="e">
        <f ca="1">P317+N318</f>
        <v>#N/A</v>
      </c>
      <c r="Q319" s="390" t="e">
        <f>Q318</f>
        <v>#VALUE!</v>
      </c>
    </row>
    <row r="320" spans="6:17" x14ac:dyDescent="0.2">
      <c r="K320" s="390" t="e">
        <f ca="1">K319</f>
        <v>#N/A</v>
      </c>
      <c r="L320" s="390">
        <v>0</v>
      </c>
      <c r="P320" s="390" t="e">
        <f ca="1">P319</f>
        <v>#N/A</v>
      </c>
      <c r="Q320" s="390">
        <v>0</v>
      </c>
    </row>
    <row r="321" spans="6:17" x14ac:dyDescent="0.2">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x14ac:dyDescent="0.2">
      <c r="K322" s="390" t="e">
        <f ca="1">K321+H321</f>
        <v>#N/A</v>
      </c>
      <c r="L322" s="390" t="e">
        <f>L321</f>
        <v>#VALUE!</v>
      </c>
      <c r="P322" s="390" t="e">
        <f ca="1">P320+N321</f>
        <v>#N/A</v>
      </c>
      <c r="Q322" s="390" t="e">
        <f>Q321</f>
        <v>#VALUE!</v>
      </c>
    </row>
    <row r="323" spans="6:17" x14ac:dyDescent="0.2">
      <c r="K323" s="390" t="e">
        <f ca="1">K322</f>
        <v>#N/A</v>
      </c>
      <c r="L323" s="390">
        <v>0</v>
      </c>
      <c r="P323" s="390" t="e">
        <f ca="1">P322</f>
        <v>#N/A</v>
      </c>
      <c r="Q323" s="390">
        <v>0</v>
      </c>
    </row>
    <row r="324" spans="6:17" x14ac:dyDescent="0.2">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x14ac:dyDescent="0.2">
      <c r="K325" s="390" t="e">
        <f ca="1">K324+H324</f>
        <v>#N/A</v>
      </c>
      <c r="L325" s="390" t="e">
        <f>L324</f>
        <v>#VALUE!</v>
      </c>
      <c r="P325" s="390" t="e">
        <f ca="1">P323+N324</f>
        <v>#N/A</v>
      </c>
      <c r="Q325" s="390" t="e">
        <f>Q324</f>
        <v>#VALUE!</v>
      </c>
    </row>
    <row r="326" spans="6:17" x14ac:dyDescent="0.2">
      <c r="K326" s="390" t="e">
        <f ca="1">K325</f>
        <v>#N/A</v>
      </c>
      <c r="L326" s="390">
        <v>0</v>
      </c>
      <c r="P326" s="390" t="e">
        <f ca="1">P325</f>
        <v>#N/A</v>
      </c>
      <c r="Q326" s="390">
        <v>0</v>
      </c>
    </row>
    <row r="327" spans="6:17" x14ac:dyDescent="0.2">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x14ac:dyDescent="0.2">
      <c r="K328" s="390" t="e">
        <f ca="1">K327+H327</f>
        <v>#N/A</v>
      </c>
      <c r="L328" s="390" t="e">
        <f>L327</f>
        <v>#VALUE!</v>
      </c>
      <c r="P328" s="390" t="e">
        <f ca="1">P326+N327</f>
        <v>#N/A</v>
      </c>
      <c r="Q328" s="390" t="e">
        <f>Q327</f>
        <v>#VALUE!</v>
      </c>
    </row>
    <row r="329" spans="6:17" x14ac:dyDescent="0.2">
      <c r="K329" s="390" t="e">
        <f ca="1">K328</f>
        <v>#N/A</v>
      </c>
      <c r="L329" s="390">
        <v>0</v>
      </c>
      <c r="P329" s="390" t="e">
        <f ca="1">P328</f>
        <v>#N/A</v>
      </c>
      <c r="Q329" s="390">
        <v>0</v>
      </c>
    </row>
    <row r="330" spans="6:17" x14ac:dyDescent="0.2">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x14ac:dyDescent="0.2">
      <c r="K331" s="390" t="e">
        <f ca="1">K330+H330</f>
        <v>#N/A</v>
      </c>
      <c r="L331" s="390" t="e">
        <f>L330</f>
        <v>#VALUE!</v>
      </c>
      <c r="P331" s="390" t="e">
        <f ca="1">P329+N330</f>
        <v>#N/A</v>
      </c>
      <c r="Q331" s="390" t="e">
        <f>Q330</f>
        <v>#VALUE!</v>
      </c>
    </row>
    <row r="332" spans="6:17" x14ac:dyDescent="0.2">
      <c r="K332" s="390" t="e">
        <f ca="1">K331</f>
        <v>#N/A</v>
      </c>
      <c r="L332" s="390">
        <v>0</v>
      </c>
      <c r="P332" s="390" t="e">
        <f ca="1">P331</f>
        <v>#N/A</v>
      </c>
      <c r="Q332" s="390">
        <v>0</v>
      </c>
    </row>
    <row r="333" spans="6:17" x14ac:dyDescent="0.2">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x14ac:dyDescent="0.2">
      <c r="K334" s="390" t="e">
        <f ca="1">K333+H333</f>
        <v>#N/A</v>
      </c>
      <c r="L334" s="390" t="e">
        <f>L333</f>
        <v>#VALUE!</v>
      </c>
      <c r="P334" s="390" t="e">
        <f ca="1">P332+N333</f>
        <v>#N/A</v>
      </c>
      <c r="Q334" s="390" t="e">
        <f>Q333</f>
        <v>#VALUE!</v>
      </c>
    </row>
    <row r="335" spans="6:17" x14ac:dyDescent="0.2">
      <c r="K335" s="390" t="e">
        <f ca="1">K334</f>
        <v>#N/A</v>
      </c>
      <c r="L335" s="390">
        <v>0</v>
      </c>
      <c r="P335" s="390" t="e">
        <f ca="1">P334</f>
        <v>#N/A</v>
      </c>
      <c r="Q335" s="390">
        <v>0</v>
      </c>
    </row>
    <row r="336" spans="6:17" x14ac:dyDescent="0.2">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x14ac:dyDescent="0.2">
      <c r="K337" s="390" t="e">
        <f ca="1">K336+H336</f>
        <v>#N/A</v>
      </c>
      <c r="L337" s="390" t="e">
        <f>L336</f>
        <v>#VALUE!</v>
      </c>
      <c r="P337" s="390" t="e">
        <f ca="1">P335+N336</f>
        <v>#N/A</v>
      </c>
      <c r="Q337" s="390" t="e">
        <f>Q336</f>
        <v>#VALUE!</v>
      </c>
    </row>
    <row r="338" spans="6:17" x14ac:dyDescent="0.2">
      <c r="K338" s="390" t="e">
        <f ca="1">K337</f>
        <v>#N/A</v>
      </c>
      <c r="L338" s="390">
        <v>0</v>
      </c>
      <c r="P338" s="390" t="e">
        <f ca="1">P337</f>
        <v>#N/A</v>
      </c>
      <c r="Q338" s="390">
        <v>0</v>
      </c>
    </row>
    <row r="339" spans="6:17" x14ac:dyDescent="0.2">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x14ac:dyDescent="0.2">
      <c r="K340" s="390" t="e">
        <f ca="1">K339+H339</f>
        <v>#N/A</v>
      </c>
      <c r="L340" s="390" t="e">
        <f>L339</f>
        <v>#VALUE!</v>
      </c>
      <c r="P340" s="390" t="e">
        <f ca="1">P338+N339</f>
        <v>#N/A</v>
      </c>
      <c r="Q340" s="390" t="e">
        <f>Q339</f>
        <v>#VALUE!</v>
      </c>
    </row>
    <row r="341" spans="6:17" x14ac:dyDescent="0.2">
      <c r="K341" s="390" t="e">
        <f ca="1">K340</f>
        <v>#N/A</v>
      </c>
      <c r="L341" s="390">
        <v>0</v>
      </c>
      <c r="P341" s="390" t="e">
        <f ca="1">P340</f>
        <v>#N/A</v>
      </c>
      <c r="Q341" s="390">
        <v>0</v>
      </c>
    </row>
    <row r="342" spans="6:17" x14ac:dyDescent="0.2">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x14ac:dyDescent="0.2">
      <c r="K343" s="390" t="e">
        <f ca="1">K342+H342</f>
        <v>#N/A</v>
      </c>
      <c r="L343" s="390" t="e">
        <f>L342</f>
        <v>#VALUE!</v>
      </c>
      <c r="P343" s="390" t="e">
        <f ca="1">P341+N342</f>
        <v>#N/A</v>
      </c>
      <c r="Q343" s="390" t="e">
        <f>Q342</f>
        <v>#VALUE!</v>
      </c>
    </row>
    <row r="344" spans="6:17" x14ac:dyDescent="0.2">
      <c r="K344" s="390" t="e">
        <f ca="1">K343</f>
        <v>#N/A</v>
      </c>
      <c r="L344" s="390">
        <v>0</v>
      </c>
      <c r="P344" s="390" t="e">
        <f ca="1">P343</f>
        <v>#N/A</v>
      </c>
      <c r="Q344" s="390">
        <v>0</v>
      </c>
    </row>
    <row r="345" spans="6:17" x14ac:dyDescent="0.2">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x14ac:dyDescent="0.2">
      <c r="K346" s="390" t="e">
        <f ca="1">K345+H345</f>
        <v>#N/A</v>
      </c>
      <c r="L346" s="390" t="e">
        <f>L345</f>
        <v>#VALUE!</v>
      </c>
      <c r="P346" s="390" t="e">
        <f ca="1">P344+N345</f>
        <v>#N/A</v>
      </c>
      <c r="Q346" s="390" t="e">
        <f>Q345</f>
        <v>#VALUE!</v>
      </c>
    </row>
    <row r="347" spans="6:17" x14ac:dyDescent="0.2">
      <c r="K347" s="390" t="e">
        <f ca="1">K346</f>
        <v>#N/A</v>
      </c>
      <c r="L347" s="390">
        <v>0</v>
      </c>
      <c r="P347" s="390" t="e">
        <f ca="1">P346</f>
        <v>#N/A</v>
      </c>
      <c r="Q347" s="390">
        <v>0</v>
      </c>
    </row>
    <row r="348" spans="6:17" x14ac:dyDescent="0.2">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x14ac:dyDescent="0.2">
      <c r="K349" s="390" t="e">
        <f ca="1">K348+H348</f>
        <v>#N/A</v>
      </c>
      <c r="L349" s="390" t="e">
        <f>L348</f>
        <v>#VALUE!</v>
      </c>
      <c r="P349" s="390" t="e">
        <f ca="1">P347+N348</f>
        <v>#N/A</v>
      </c>
      <c r="Q349" s="390" t="e">
        <f>Q348</f>
        <v>#VALUE!</v>
      </c>
    </row>
    <row r="350" spans="6:17" x14ac:dyDescent="0.2">
      <c r="K350" s="390" t="e">
        <f ca="1">K349</f>
        <v>#N/A</v>
      </c>
      <c r="L350" s="390">
        <v>0</v>
      </c>
      <c r="P350" s="390" t="e">
        <f ca="1">P349</f>
        <v>#N/A</v>
      </c>
      <c r="Q350" s="390">
        <v>0</v>
      </c>
    </row>
    <row r="351" spans="6:17" x14ac:dyDescent="0.2">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x14ac:dyDescent="0.2">
      <c r="K352" s="390" t="e">
        <f ca="1">K351+H351</f>
        <v>#N/A</v>
      </c>
      <c r="L352" s="390" t="e">
        <f>L351</f>
        <v>#VALUE!</v>
      </c>
      <c r="P352" s="390" t="e">
        <f ca="1">P350+N351</f>
        <v>#N/A</v>
      </c>
      <c r="Q352" s="390" t="e">
        <f>Q351</f>
        <v>#VALUE!</v>
      </c>
    </row>
    <row r="353" spans="6:17" x14ac:dyDescent="0.2">
      <c r="K353" s="390" t="e">
        <f ca="1">K352</f>
        <v>#N/A</v>
      </c>
      <c r="L353" s="390">
        <v>0</v>
      </c>
      <c r="P353" s="390" t="e">
        <f ca="1">P352</f>
        <v>#N/A</v>
      </c>
      <c r="Q353" s="390">
        <v>0</v>
      </c>
    </row>
    <row r="354" spans="6:17" x14ac:dyDescent="0.2">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x14ac:dyDescent="0.2">
      <c r="K355" s="390" t="e">
        <f ca="1">K354+H354</f>
        <v>#N/A</v>
      </c>
      <c r="L355" s="390" t="e">
        <f>L354</f>
        <v>#VALUE!</v>
      </c>
      <c r="P355" s="390" t="e">
        <f ca="1">P353+N354</f>
        <v>#N/A</v>
      </c>
      <c r="Q355" s="390" t="e">
        <f>Q354</f>
        <v>#VALUE!</v>
      </c>
    </row>
    <row r="356" spans="6:17" x14ac:dyDescent="0.2">
      <c r="K356" s="390" t="e">
        <f ca="1">K355</f>
        <v>#N/A</v>
      </c>
      <c r="L356" s="390">
        <v>0</v>
      </c>
      <c r="P356" s="390" t="e">
        <f ca="1">P355</f>
        <v>#N/A</v>
      </c>
      <c r="Q356" s="390">
        <v>0</v>
      </c>
    </row>
    <row r="357" spans="6:17" x14ac:dyDescent="0.2">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x14ac:dyDescent="0.2">
      <c r="K358" s="390" t="e">
        <f ca="1">K357+H357</f>
        <v>#N/A</v>
      </c>
      <c r="L358" s="390" t="e">
        <f>L357</f>
        <v>#VALUE!</v>
      </c>
      <c r="P358" s="390" t="e">
        <f ca="1">P356+N357</f>
        <v>#N/A</v>
      </c>
      <c r="Q358" s="390" t="e">
        <f>Q357</f>
        <v>#VALUE!</v>
      </c>
    </row>
    <row r="359" spans="6:17" x14ac:dyDescent="0.2">
      <c r="K359" s="390" t="e">
        <f ca="1">K358</f>
        <v>#N/A</v>
      </c>
      <c r="L359" s="390">
        <v>0</v>
      </c>
      <c r="P359" s="390" t="e">
        <f ca="1">P358</f>
        <v>#N/A</v>
      </c>
      <c r="Q359" s="390">
        <v>0</v>
      </c>
    </row>
    <row r="360" spans="6:17" x14ac:dyDescent="0.2">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x14ac:dyDescent="0.2">
      <c r="K361" s="390" t="e">
        <f ca="1">K360+H360</f>
        <v>#N/A</v>
      </c>
      <c r="L361" s="390" t="e">
        <f>L360</f>
        <v>#VALUE!</v>
      </c>
      <c r="P361" s="390" t="e">
        <f ca="1">P359+N360</f>
        <v>#N/A</v>
      </c>
      <c r="Q361" s="390" t="e">
        <f>Q360</f>
        <v>#VALUE!</v>
      </c>
    </row>
    <row r="362" spans="6:17" x14ac:dyDescent="0.2">
      <c r="K362" s="390" t="e">
        <f ca="1">K361</f>
        <v>#N/A</v>
      </c>
      <c r="L362" s="390">
        <v>0</v>
      </c>
      <c r="P362" s="390" t="e">
        <f ca="1">P361</f>
        <v>#N/A</v>
      </c>
      <c r="Q362" s="390">
        <v>0</v>
      </c>
    </row>
    <row r="363" spans="6:17" x14ac:dyDescent="0.2">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x14ac:dyDescent="0.2">
      <c r="K364" s="390" t="e">
        <f ca="1">K363+H363</f>
        <v>#N/A</v>
      </c>
      <c r="L364" s="390" t="e">
        <f>L363</f>
        <v>#VALUE!</v>
      </c>
      <c r="P364" s="390" t="e">
        <f ca="1">P362+N363</f>
        <v>#N/A</v>
      </c>
      <c r="Q364" s="390" t="e">
        <f>Q363</f>
        <v>#VALUE!</v>
      </c>
    </row>
    <row r="365" spans="6:17" x14ac:dyDescent="0.2">
      <c r="K365" s="390" t="e">
        <f ca="1">K364</f>
        <v>#N/A</v>
      </c>
      <c r="L365" s="390">
        <v>0</v>
      </c>
      <c r="P365" s="390" t="e">
        <f ca="1">P364</f>
        <v>#N/A</v>
      </c>
      <c r="Q365" s="390">
        <v>0</v>
      </c>
    </row>
    <row r="366" spans="6:17" x14ac:dyDescent="0.2">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x14ac:dyDescent="0.2">
      <c r="K367" s="390" t="e">
        <f ca="1">K366+H366</f>
        <v>#N/A</v>
      </c>
      <c r="L367" s="390" t="e">
        <f>L366</f>
        <v>#VALUE!</v>
      </c>
      <c r="P367" s="390" t="e">
        <f ca="1">P365+N366</f>
        <v>#N/A</v>
      </c>
      <c r="Q367" s="390" t="e">
        <f>Q366</f>
        <v>#VALUE!</v>
      </c>
    </row>
    <row r="368" spans="6:17" x14ac:dyDescent="0.2">
      <c r="K368" s="390" t="e">
        <f ca="1">K367</f>
        <v>#N/A</v>
      </c>
      <c r="L368" s="390">
        <v>0</v>
      </c>
      <c r="P368" s="390" t="e">
        <f ca="1">P367</f>
        <v>#N/A</v>
      </c>
      <c r="Q368" s="390">
        <v>0</v>
      </c>
    </row>
    <row r="369" spans="6:17" x14ac:dyDescent="0.2">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x14ac:dyDescent="0.2">
      <c r="K370" s="390" t="e">
        <f ca="1">K369+H369</f>
        <v>#N/A</v>
      </c>
      <c r="L370" s="390" t="e">
        <f>L369</f>
        <v>#VALUE!</v>
      </c>
      <c r="P370" s="390" t="e">
        <f ca="1">P368+N369</f>
        <v>#N/A</v>
      </c>
      <c r="Q370" s="390" t="e">
        <f>Q369</f>
        <v>#VALUE!</v>
      </c>
    </row>
    <row r="371" spans="6:17" x14ac:dyDescent="0.2">
      <c r="K371" s="390" t="e">
        <f ca="1">K370</f>
        <v>#N/A</v>
      </c>
      <c r="L371" s="390">
        <v>0</v>
      </c>
      <c r="P371" s="390" t="e">
        <f ca="1">P370</f>
        <v>#N/A</v>
      </c>
      <c r="Q371" s="390">
        <v>0</v>
      </c>
    </row>
    <row r="372" spans="6:17" x14ac:dyDescent="0.2">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x14ac:dyDescent="0.2">
      <c r="K373" s="390" t="e">
        <f ca="1">K372+H372</f>
        <v>#N/A</v>
      </c>
      <c r="L373" s="390" t="e">
        <f>L372</f>
        <v>#VALUE!</v>
      </c>
      <c r="P373" s="390" t="e">
        <f ca="1">P371+N372</f>
        <v>#N/A</v>
      </c>
      <c r="Q373" s="390" t="e">
        <f>Q372</f>
        <v>#VALUE!</v>
      </c>
    </row>
    <row r="374" spans="6:17" x14ac:dyDescent="0.2">
      <c r="K374" s="390" t="e">
        <f ca="1">K373</f>
        <v>#N/A</v>
      </c>
      <c r="L374" s="390">
        <v>0</v>
      </c>
      <c r="P374" s="390" t="e">
        <f ca="1">P373</f>
        <v>#N/A</v>
      </c>
      <c r="Q374" s="390">
        <v>0</v>
      </c>
    </row>
    <row r="375" spans="6:17" x14ac:dyDescent="0.2">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x14ac:dyDescent="0.2">
      <c r="K376" s="390" t="e">
        <f ca="1">K375+H375</f>
        <v>#N/A</v>
      </c>
      <c r="L376" s="390" t="e">
        <f>L375</f>
        <v>#VALUE!</v>
      </c>
      <c r="P376" s="390" t="e">
        <f ca="1">P374+N375</f>
        <v>#N/A</v>
      </c>
      <c r="Q376" s="390" t="e">
        <f>Q375</f>
        <v>#VALUE!</v>
      </c>
    </row>
    <row r="377" spans="6:17" x14ac:dyDescent="0.2">
      <c r="K377" s="390" t="e">
        <f ca="1">K376</f>
        <v>#N/A</v>
      </c>
      <c r="L377" s="390">
        <v>0</v>
      </c>
      <c r="P377" s="390" t="e">
        <f ca="1">P376</f>
        <v>#N/A</v>
      </c>
      <c r="Q377" s="390">
        <v>0</v>
      </c>
    </row>
    <row r="378" spans="6:17" x14ac:dyDescent="0.2">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x14ac:dyDescent="0.2">
      <c r="K379" s="390" t="e">
        <f ca="1">K378+H378</f>
        <v>#N/A</v>
      </c>
      <c r="L379" s="390" t="e">
        <f>L378</f>
        <v>#VALUE!</v>
      </c>
      <c r="P379" s="390" t="e">
        <f ca="1">P377+N378</f>
        <v>#N/A</v>
      </c>
      <c r="Q379" s="390" t="e">
        <f>Q378</f>
        <v>#VALUE!</v>
      </c>
    </row>
    <row r="380" spans="6:17" x14ac:dyDescent="0.2">
      <c r="K380" s="390" t="e">
        <f ca="1">K379</f>
        <v>#N/A</v>
      </c>
      <c r="L380" s="390">
        <v>0</v>
      </c>
      <c r="P380" s="390" t="e">
        <f ca="1">P379</f>
        <v>#N/A</v>
      </c>
      <c r="Q380" s="390">
        <v>0</v>
      </c>
    </row>
    <row r="381" spans="6:17" x14ac:dyDescent="0.2">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x14ac:dyDescent="0.2">
      <c r="K382" s="390" t="e">
        <f ca="1">K381+H381</f>
        <v>#N/A</v>
      </c>
      <c r="L382" s="390" t="e">
        <f>L381</f>
        <v>#VALUE!</v>
      </c>
      <c r="P382" s="390" t="e">
        <f ca="1">P380+N381</f>
        <v>#N/A</v>
      </c>
      <c r="Q382" s="390" t="e">
        <f>Q381</f>
        <v>#VALUE!</v>
      </c>
    </row>
    <row r="383" spans="6:17" x14ac:dyDescent="0.2">
      <c r="K383" s="390" t="e">
        <f ca="1">K382</f>
        <v>#N/A</v>
      </c>
      <c r="L383" s="390">
        <v>0</v>
      </c>
      <c r="P383" s="390" t="e">
        <f ca="1">P382</f>
        <v>#N/A</v>
      </c>
      <c r="Q383" s="390">
        <v>0</v>
      </c>
    </row>
    <row r="384" spans="6:17" x14ac:dyDescent="0.2">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x14ac:dyDescent="0.2">
      <c r="K385" s="390" t="e">
        <f ca="1">K384+H384</f>
        <v>#N/A</v>
      </c>
      <c r="L385" s="390" t="e">
        <f>L384</f>
        <v>#VALUE!</v>
      </c>
      <c r="P385" s="390" t="e">
        <f ca="1">P383+N384</f>
        <v>#N/A</v>
      </c>
      <c r="Q385" s="390" t="e">
        <f>Q384</f>
        <v>#VALUE!</v>
      </c>
    </row>
    <row r="386" spans="6:17" x14ac:dyDescent="0.2">
      <c r="K386" s="390" t="e">
        <f ca="1">K385</f>
        <v>#N/A</v>
      </c>
      <c r="L386" s="390">
        <v>0</v>
      </c>
      <c r="P386" s="390" t="e">
        <f ca="1">P385</f>
        <v>#N/A</v>
      </c>
      <c r="Q386" s="390">
        <v>0</v>
      </c>
    </row>
    <row r="387" spans="6:17" x14ac:dyDescent="0.2">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x14ac:dyDescent="0.2">
      <c r="K388" s="390" t="e">
        <f ca="1">K387+H387</f>
        <v>#N/A</v>
      </c>
      <c r="L388" s="390" t="e">
        <f>L387</f>
        <v>#VALUE!</v>
      </c>
      <c r="P388" s="390" t="e">
        <f ca="1">P386+N387</f>
        <v>#N/A</v>
      </c>
      <c r="Q388" s="390" t="e">
        <f>Q387</f>
        <v>#VALUE!</v>
      </c>
    </row>
    <row r="389" spans="6:17" x14ac:dyDescent="0.2">
      <c r="K389" s="390" t="e">
        <f ca="1">K388</f>
        <v>#N/A</v>
      </c>
      <c r="L389" s="390">
        <v>0</v>
      </c>
      <c r="P389" s="390" t="e">
        <f ca="1">P388</f>
        <v>#N/A</v>
      </c>
      <c r="Q389" s="390">
        <v>0</v>
      </c>
    </row>
    <row r="390" spans="6:17" x14ac:dyDescent="0.2">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x14ac:dyDescent="0.2">
      <c r="K391" s="390" t="e">
        <f ca="1">K390+H390</f>
        <v>#N/A</v>
      </c>
      <c r="L391" s="390" t="e">
        <f>L390</f>
        <v>#VALUE!</v>
      </c>
      <c r="P391" s="390" t="e">
        <f ca="1">P389+N390</f>
        <v>#N/A</v>
      </c>
      <c r="Q391" s="390" t="e">
        <f>Q390</f>
        <v>#VALUE!</v>
      </c>
    </row>
    <row r="392" spans="6:17" x14ac:dyDescent="0.2">
      <c r="K392" s="390" t="e">
        <f ca="1">K391</f>
        <v>#N/A</v>
      </c>
      <c r="L392" s="390">
        <v>0</v>
      </c>
      <c r="P392" s="390" t="e">
        <f ca="1">P391</f>
        <v>#N/A</v>
      </c>
      <c r="Q392" s="390">
        <v>0</v>
      </c>
    </row>
    <row r="393" spans="6:17" x14ac:dyDescent="0.2">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x14ac:dyDescent="0.2">
      <c r="K394" s="390" t="e">
        <f ca="1">K393+H393</f>
        <v>#N/A</v>
      </c>
      <c r="L394" s="390" t="e">
        <f>L393</f>
        <v>#VALUE!</v>
      </c>
      <c r="P394" s="390" t="e">
        <f ca="1">P392+N393</f>
        <v>#N/A</v>
      </c>
      <c r="Q394" s="390" t="e">
        <f>Q393</f>
        <v>#VALUE!</v>
      </c>
    </row>
    <row r="395" spans="6:17" x14ac:dyDescent="0.2">
      <c r="K395" s="390" t="e">
        <f ca="1">K394</f>
        <v>#N/A</v>
      </c>
      <c r="L395" s="390">
        <v>0</v>
      </c>
      <c r="P395" s="390" t="e">
        <f ca="1">P394</f>
        <v>#N/A</v>
      </c>
      <c r="Q395" s="390">
        <v>0</v>
      </c>
    </row>
    <row r="396" spans="6:17" x14ac:dyDescent="0.2">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x14ac:dyDescent="0.2">
      <c r="K397" s="390" t="e">
        <f ca="1">K396+H396</f>
        <v>#N/A</v>
      </c>
      <c r="L397" s="390" t="e">
        <f>L396</f>
        <v>#VALUE!</v>
      </c>
      <c r="P397" s="390" t="e">
        <f ca="1">P395+N396</f>
        <v>#N/A</v>
      </c>
      <c r="Q397" s="390" t="e">
        <f>Q396</f>
        <v>#VALUE!</v>
      </c>
    </row>
    <row r="398" spans="6:17" x14ac:dyDescent="0.2">
      <c r="K398" s="390" t="e">
        <f ca="1">K397</f>
        <v>#N/A</v>
      </c>
      <c r="L398" s="390">
        <v>0</v>
      </c>
      <c r="P398" s="390" t="e">
        <f ca="1">P397</f>
        <v>#N/A</v>
      </c>
      <c r="Q398" s="390">
        <v>0</v>
      </c>
    </row>
    <row r="399" spans="6:17" x14ac:dyDescent="0.2">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x14ac:dyDescent="0.2">
      <c r="K400" s="390" t="e">
        <f ca="1">K399+H399</f>
        <v>#N/A</v>
      </c>
      <c r="L400" s="390" t="e">
        <f>L399</f>
        <v>#VALUE!</v>
      </c>
      <c r="P400" s="390" t="e">
        <f ca="1">P398+N399</f>
        <v>#N/A</v>
      </c>
      <c r="Q400" s="390" t="e">
        <f>Q399</f>
        <v>#VALUE!</v>
      </c>
    </row>
    <row r="401" spans="6:17" x14ac:dyDescent="0.2">
      <c r="K401" s="390" t="e">
        <f ca="1">K400</f>
        <v>#N/A</v>
      </c>
      <c r="L401" s="390">
        <v>0</v>
      </c>
      <c r="P401" s="390" t="e">
        <f ca="1">P400</f>
        <v>#N/A</v>
      </c>
      <c r="Q401" s="390">
        <v>0</v>
      </c>
    </row>
    <row r="402" spans="6:17" x14ac:dyDescent="0.2">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x14ac:dyDescent="0.2">
      <c r="K403" s="390" t="e">
        <f ca="1">K402+H402</f>
        <v>#N/A</v>
      </c>
      <c r="L403" s="390" t="e">
        <f>L402</f>
        <v>#VALUE!</v>
      </c>
      <c r="P403" s="390" t="e">
        <f ca="1">P401+N402</f>
        <v>#N/A</v>
      </c>
      <c r="Q403" s="390" t="e">
        <f>Q402</f>
        <v>#VALUE!</v>
      </c>
    </row>
    <row r="404" spans="6:17" x14ac:dyDescent="0.2">
      <c r="K404" s="390" t="e">
        <f ca="1">K403</f>
        <v>#N/A</v>
      </c>
      <c r="L404" s="390">
        <v>0</v>
      </c>
      <c r="P404" s="390" t="e">
        <f ca="1">P403</f>
        <v>#N/A</v>
      </c>
      <c r="Q404" s="390">
        <v>0</v>
      </c>
    </row>
    <row r="405" spans="6:17" x14ac:dyDescent="0.2">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x14ac:dyDescent="0.2">
      <c r="K406" s="390" t="e">
        <f ca="1">K405+H405</f>
        <v>#N/A</v>
      </c>
      <c r="L406" s="390" t="e">
        <f>L405</f>
        <v>#VALUE!</v>
      </c>
      <c r="P406" s="390" t="e">
        <f ca="1">P404+N405</f>
        <v>#N/A</v>
      </c>
      <c r="Q406" s="390" t="e">
        <f>Q405</f>
        <v>#VALUE!</v>
      </c>
    </row>
    <row r="407" spans="6:17" x14ac:dyDescent="0.2">
      <c r="K407" s="390" t="e">
        <f ca="1">K406</f>
        <v>#N/A</v>
      </c>
      <c r="L407" s="390">
        <v>0</v>
      </c>
      <c r="P407" s="390" t="e">
        <f ca="1">P406</f>
        <v>#N/A</v>
      </c>
      <c r="Q407" s="390">
        <v>0</v>
      </c>
    </row>
    <row r="408" spans="6:17" x14ac:dyDescent="0.2">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x14ac:dyDescent="0.2">
      <c r="K409" s="390" t="e">
        <f ca="1">K408+H408</f>
        <v>#N/A</v>
      </c>
      <c r="L409" s="390" t="e">
        <f>L408</f>
        <v>#VALUE!</v>
      </c>
      <c r="P409" s="390" t="e">
        <f ca="1">P407+N408</f>
        <v>#N/A</v>
      </c>
      <c r="Q409" s="390" t="e">
        <f>Q408</f>
        <v>#VALUE!</v>
      </c>
    </row>
    <row r="410" spans="6:17" x14ac:dyDescent="0.2">
      <c r="K410" s="390" t="e">
        <f ca="1">K409</f>
        <v>#N/A</v>
      </c>
      <c r="L410" s="390">
        <v>0</v>
      </c>
      <c r="P410" s="390" t="e">
        <f ca="1">P409</f>
        <v>#N/A</v>
      </c>
      <c r="Q410" s="390">
        <v>0</v>
      </c>
    </row>
    <row r="411" spans="6:17" x14ac:dyDescent="0.2">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x14ac:dyDescent="0.2">
      <c r="K412" s="390" t="e">
        <f ca="1">K411+H411</f>
        <v>#N/A</v>
      </c>
      <c r="L412" s="390" t="e">
        <f>L411</f>
        <v>#VALUE!</v>
      </c>
      <c r="P412" s="390" t="e">
        <f ca="1">P410+N411</f>
        <v>#N/A</v>
      </c>
      <c r="Q412" s="390" t="e">
        <f>Q411</f>
        <v>#VALUE!</v>
      </c>
    </row>
    <row r="413" spans="6:17" x14ac:dyDescent="0.2">
      <c r="K413" s="390" t="e">
        <f ca="1">K412</f>
        <v>#N/A</v>
      </c>
      <c r="L413" s="390">
        <v>0</v>
      </c>
      <c r="P413" s="390" t="e">
        <f ca="1">P412</f>
        <v>#N/A</v>
      </c>
      <c r="Q413" s="390">
        <v>0</v>
      </c>
    </row>
    <row r="414" spans="6:17" x14ac:dyDescent="0.2">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x14ac:dyDescent="0.2">
      <c r="K415" s="390" t="e">
        <f ca="1">K414+H414</f>
        <v>#N/A</v>
      </c>
      <c r="L415" s="390" t="e">
        <f>L414</f>
        <v>#VALUE!</v>
      </c>
      <c r="P415" s="390" t="e">
        <f ca="1">P413+N414</f>
        <v>#N/A</v>
      </c>
      <c r="Q415" s="390" t="e">
        <f>Q414</f>
        <v>#VALUE!</v>
      </c>
    </row>
    <row r="416" spans="6:17" x14ac:dyDescent="0.2">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60" activePane="bottomRight" state="frozen"/>
      <selection pane="topRight" activeCell="B1" sqref="B1"/>
      <selection pane="bottomLeft" activeCell="A5" sqref="A5"/>
      <selection pane="bottomRight" activeCell="E90" sqref="E90"/>
    </sheetView>
  </sheetViews>
  <sheetFormatPr baseColWidth="10" defaultColWidth="11.5703125" defaultRowHeight="12.75" x14ac:dyDescent="0.2"/>
  <cols>
    <col min="1" max="1" width="11.5703125" style="251"/>
    <col min="2" max="2" width="75.28515625" style="251" customWidth="1"/>
    <col min="3" max="16384" width="11.5703125" style="251"/>
  </cols>
  <sheetData>
    <row r="2" spans="1:5" x14ac:dyDescent="0.2">
      <c r="A2" s="303" t="s">
        <v>2367</v>
      </c>
    </row>
    <row r="4" spans="1:5" x14ac:dyDescent="0.2">
      <c r="A4" s="304" t="s">
        <v>2366</v>
      </c>
      <c r="B4" s="304" t="s">
        <v>2363</v>
      </c>
      <c r="C4" s="304" t="s">
        <v>2364</v>
      </c>
      <c r="D4" s="305" t="s">
        <v>2365</v>
      </c>
      <c r="E4" s="304" t="s">
        <v>2361</v>
      </c>
    </row>
    <row r="5" spans="1:5" x14ac:dyDescent="0.2">
      <c r="A5" s="1125">
        <v>1</v>
      </c>
      <c r="B5" s="1126" t="s">
        <v>1574</v>
      </c>
      <c r="C5" s="1127">
        <v>41264</v>
      </c>
      <c r="D5" s="1128" t="s">
        <v>1923</v>
      </c>
      <c r="E5" s="1125" t="s">
        <v>2362</v>
      </c>
    </row>
    <row r="6" spans="1:5" ht="22.5" x14ac:dyDescent="0.2">
      <c r="A6" s="1125">
        <v>2</v>
      </c>
      <c r="B6" s="1126" t="s">
        <v>943</v>
      </c>
      <c r="C6" s="1127">
        <v>41288</v>
      </c>
      <c r="D6" s="1128" t="s">
        <v>944</v>
      </c>
      <c r="E6" s="1125" t="s">
        <v>2362</v>
      </c>
    </row>
    <row r="7" spans="1:5" ht="22.5" x14ac:dyDescent="0.2">
      <c r="A7" s="1125">
        <v>3</v>
      </c>
      <c r="B7" s="1126" t="s">
        <v>3862</v>
      </c>
      <c r="C7" s="1127">
        <v>41288</v>
      </c>
      <c r="D7" s="1128" t="s">
        <v>944</v>
      </c>
      <c r="E7" s="1125" t="s">
        <v>2362</v>
      </c>
    </row>
    <row r="8" spans="1:5" x14ac:dyDescent="0.2">
      <c r="A8" s="1125">
        <v>4</v>
      </c>
      <c r="B8" s="1126" t="s">
        <v>2105</v>
      </c>
      <c r="C8" s="1127">
        <v>41294</v>
      </c>
      <c r="D8" s="1128" t="s">
        <v>944</v>
      </c>
      <c r="E8" s="1125" t="s">
        <v>2362</v>
      </c>
    </row>
    <row r="9" spans="1:5" x14ac:dyDescent="0.2">
      <c r="A9" s="1125">
        <v>5</v>
      </c>
      <c r="B9" s="1126" t="s">
        <v>3348</v>
      </c>
      <c r="C9" s="1127">
        <v>41295</v>
      </c>
      <c r="D9" s="1128" t="s">
        <v>944</v>
      </c>
      <c r="E9" s="1125" t="s">
        <v>2362</v>
      </c>
    </row>
    <row r="10" spans="1:5" x14ac:dyDescent="0.2">
      <c r="A10" s="1125">
        <v>6</v>
      </c>
      <c r="B10" s="1126" t="s">
        <v>325</v>
      </c>
      <c r="C10" s="1127">
        <v>41296</v>
      </c>
      <c r="D10" s="1128" t="s">
        <v>944</v>
      </c>
      <c r="E10" s="1125" t="s">
        <v>2362</v>
      </c>
    </row>
    <row r="11" spans="1:5" ht="22.5" x14ac:dyDescent="0.2">
      <c r="A11" s="1125">
        <v>7</v>
      </c>
      <c r="B11" s="1126" t="s">
        <v>2915</v>
      </c>
      <c r="C11" s="1127">
        <v>41313</v>
      </c>
      <c r="D11" s="1128" t="s">
        <v>1601</v>
      </c>
      <c r="E11" s="1125" t="s">
        <v>2362</v>
      </c>
    </row>
    <row r="12" spans="1:5" x14ac:dyDescent="0.2">
      <c r="A12" s="1125">
        <v>8</v>
      </c>
      <c r="B12" s="1126" t="s">
        <v>2917</v>
      </c>
      <c r="C12" s="1127">
        <v>41313</v>
      </c>
      <c r="D12" s="1128" t="s">
        <v>1601</v>
      </c>
      <c r="E12" s="1125" t="s">
        <v>2362</v>
      </c>
    </row>
    <row r="13" spans="1:5" ht="22.5" x14ac:dyDescent="0.2">
      <c r="A13" s="1125">
        <v>9</v>
      </c>
      <c r="B13" s="1126" t="s">
        <v>2916</v>
      </c>
      <c r="C13" s="1127">
        <v>41313</v>
      </c>
      <c r="D13" s="1128" t="s">
        <v>1601</v>
      </c>
      <c r="E13" s="1125" t="s">
        <v>2362</v>
      </c>
    </row>
    <row r="14" spans="1:5" ht="22.5" x14ac:dyDescent="0.2">
      <c r="A14" s="1125">
        <v>10</v>
      </c>
      <c r="B14" s="1126" t="s">
        <v>2918</v>
      </c>
      <c r="C14" s="1127">
        <v>41313</v>
      </c>
      <c r="D14" s="1128" t="s">
        <v>1601</v>
      </c>
      <c r="E14" s="1125" t="s">
        <v>2362</v>
      </c>
    </row>
    <row r="15" spans="1:5" x14ac:dyDescent="0.2">
      <c r="A15" s="1125">
        <v>11</v>
      </c>
      <c r="B15" s="1126" t="s">
        <v>645</v>
      </c>
      <c r="C15" s="1127">
        <v>41313</v>
      </c>
      <c r="D15" s="1128" t="s">
        <v>1601</v>
      </c>
      <c r="E15" s="1125" t="s">
        <v>2362</v>
      </c>
    </row>
    <row r="16" spans="1:5" ht="22.5" x14ac:dyDescent="0.2">
      <c r="A16" s="1125">
        <v>12</v>
      </c>
      <c r="B16" s="1126" t="s">
        <v>2201</v>
      </c>
      <c r="C16" s="1127">
        <v>41313</v>
      </c>
      <c r="D16" s="1128" t="s">
        <v>1601</v>
      </c>
      <c r="E16" s="1125" t="s">
        <v>2362</v>
      </c>
    </row>
    <row r="17" spans="1:5" ht="22.5" x14ac:dyDescent="0.2">
      <c r="A17" s="1125">
        <v>13</v>
      </c>
      <c r="B17" s="1126" t="s">
        <v>3167</v>
      </c>
      <c r="C17" s="1127">
        <v>41317</v>
      </c>
      <c r="D17" s="1128" t="s">
        <v>3166</v>
      </c>
      <c r="E17" s="1125" t="s">
        <v>2362</v>
      </c>
    </row>
    <row r="18" spans="1:5" x14ac:dyDescent="0.2">
      <c r="A18" s="1125">
        <v>14</v>
      </c>
      <c r="B18" s="1126" t="s">
        <v>3168</v>
      </c>
      <c r="C18" s="1127">
        <v>41317</v>
      </c>
      <c r="D18" s="1128" t="s">
        <v>3166</v>
      </c>
      <c r="E18" s="1125" t="s">
        <v>2362</v>
      </c>
    </row>
    <row r="19" spans="1:5" x14ac:dyDescent="0.2">
      <c r="A19" s="1125">
        <v>15</v>
      </c>
      <c r="B19" s="1126" t="s">
        <v>3169</v>
      </c>
      <c r="C19" s="1127">
        <v>41317</v>
      </c>
      <c r="D19" s="1128" t="s">
        <v>3166</v>
      </c>
      <c r="E19" s="1125" t="s">
        <v>2362</v>
      </c>
    </row>
    <row r="20" spans="1:5" x14ac:dyDescent="0.2">
      <c r="A20" s="1125">
        <v>16</v>
      </c>
      <c r="B20" s="1126" t="s">
        <v>3170</v>
      </c>
      <c r="C20" s="1127">
        <v>41317</v>
      </c>
      <c r="D20" s="1128" t="s">
        <v>3166</v>
      </c>
      <c r="E20" s="1125" t="s">
        <v>2362</v>
      </c>
    </row>
    <row r="21" spans="1:5" ht="22.5" x14ac:dyDescent="0.2">
      <c r="A21" s="1125">
        <v>17</v>
      </c>
      <c r="B21" s="1126" t="s">
        <v>359</v>
      </c>
      <c r="C21" s="1127">
        <v>41321</v>
      </c>
      <c r="D21" s="1128" t="s">
        <v>3166</v>
      </c>
      <c r="E21" s="1125" t="s">
        <v>2362</v>
      </c>
    </row>
    <row r="22" spans="1:5" ht="22.5" x14ac:dyDescent="0.2">
      <c r="A22" s="1125">
        <v>18</v>
      </c>
      <c r="B22" s="1126" t="s">
        <v>2651</v>
      </c>
      <c r="C22" s="1127">
        <v>41321</v>
      </c>
      <c r="D22" s="1128" t="s">
        <v>3166</v>
      </c>
      <c r="E22" s="1125" t="s">
        <v>2362</v>
      </c>
    </row>
    <row r="23" spans="1:5" x14ac:dyDescent="0.2">
      <c r="A23" s="1125">
        <v>19</v>
      </c>
      <c r="B23" s="1126" t="s">
        <v>3623</v>
      </c>
      <c r="C23" s="1127">
        <v>41321</v>
      </c>
      <c r="D23" s="1128" t="s">
        <v>3166</v>
      </c>
      <c r="E23" s="1125" t="s">
        <v>2362</v>
      </c>
    </row>
    <row r="24" spans="1:5" ht="22.5" x14ac:dyDescent="0.2">
      <c r="A24" s="1125">
        <v>20</v>
      </c>
      <c r="B24" s="1126" t="s">
        <v>1065</v>
      </c>
      <c r="C24" s="1127">
        <v>41321</v>
      </c>
      <c r="D24" s="1128" t="s">
        <v>3166</v>
      </c>
      <c r="E24" s="1125" t="s">
        <v>2362</v>
      </c>
    </row>
    <row r="25" spans="1:5" ht="22.5" x14ac:dyDescent="0.2">
      <c r="A25" s="1125">
        <v>21</v>
      </c>
      <c r="B25" s="1126" t="s">
        <v>3299</v>
      </c>
      <c r="C25" s="1127">
        <v>41362</v>
      </c>
      <c r="D25" s="1125" t="s">
        <v>3298</v>
      </c>
      <c r="E25" s="1125" t="s">
        <v>2362</v>
      </c>
    </row>
    <row r="26" spans="1:5" x14ac:dyDescent="0.2">
      <c r="A26" s="1125">
        <v>22</v>
      </c>
      <c r="B26" s="1126" t="s">
        <v>3300</v>
      </c>
      <c r="C26" s="1127">
        <v>41362</v>
      </c>
      <c r="D26" s="1125" t="s">
        <v>3298</v>
      </c>
      <c r="E26" s="1125" t="s">
        <v>2362</v>
      </c>
    </row>
    <row r="27" spans="1:5" ht="22.5" x14ac:dyDescent="0.2">
      <c r="A27" s="1125">
        <v>23</v>
      </c>
      <c r="B27" s="1126" t="s">
        <v>3301</v>
      </c>
      <c r="C27" s="1127">
        <v>41362</v>
      </c>
      <c r="D27" s="1125" t="s">
        <v>3298</v>
      </c>
      <c r="E27" s="1125" t="s">
        <v>2362</v>
      </c>
    </row>
    <row r="28" spans="1:5" x14ac:dyDescent="0.2">
      <c r="A28" s="1125">
        <v>24</v>
      </c>
      <c r="B28" s="1126" t="s">
        <v>3302</v>
      </c>
      <c r="C28" s="1127">
        <v>41362</v>
      </c>
      <c r="D28" s="1125" t="s">
        <v>3298</v>
      </c>
      <c r="E28" s="1125" t="s">
        <v>2362</v>
      </c>
    </row>
    <row r="29" spans="1:5" x14ac:dyDescent="0.2">
      <c r="A29" s="1125">
        <v>25</v>
      </c>
      <c r="B29" s="1126" t="s">
        <v>188</v>
      </c>
      <c r="C29" s="1127">
        <v>41362</v>
      </c>
      <c r="D29" s="1125" t="s">
        <v>3298</v>
      </c>
      <c r="E29" s="1125" t="s">
        <v>2362</v>
      </c>
    </row>
    <row r="30" spans="1:5" x14ac:dyDescent="0.2">
      <c r="A30" s="1125">
        <v>26</v>
      </c>
      <c r="B30" s="1126" t="s">
        <v>189</v>
      </c>
      <c r="C30" s="1127">
        <v>41362</v>
      </c>
      <c r="D30" s="1125" t="s">
        <v>3298</v>
      </c>
      <c r="E30" s="1125" t="s">
        <v>2362</v>
      </c>
    </row>
    <row r="31" spans="1:5" x14ac:dyDescent="0.2">
      <c r="A31" s="1125">
        <v>27</v>
      </c>
      <c r="B31" s="1126" t="s">
        <v>190</v>
      </c>
      <c r="C31" s="1127">
        <v>41362</v>
      </c>
      <c r="D31" s="1125" t="s">
        <v>3298</v>
      </c>
      <c r="E31" s="1125" t="s">
        <v>2362</v>
      </c>
    </row>
    <row r="32" spans="1:5" x14ac:dyDescent="0.2">
      <c r="A32" s="1125">
        <v>28</v>
      </c>
      <c r="B32" s="1126" t="s">
        <v>2662</v>
      </c>
      <c r="C32" s="1127">
        <v>41362</v>
      </c>
      <c r="D32" s="1125" t="s">
        <v>3298</v>
      </c>
      <c r="E32" s="1125" t="s">
        <v>2362</v>
      </c>
    </row>
    <row r="33" spans="1:5" x14ac:dyDescent="0.2">
      <c r="A33" s="1125" t="s">
        <v>3412</v>
      </c>
      <c r="B33" s="1126" t="s">
        <v>3413</v>
      </c>
      <c r="C33" s="1127">
        <v>41442</v>
      </c>
      <c r="D33" s="1125" t="s">
        <v>3411</v>
      </c>
      <c r="E33" s="1125" t="s">
        <v>3414</v>
      </c>
    </row>
    <row r="34" spans="1:5" ht="28.15" customHeight="1" x14ac:dyDescent="0.2">
      <c r="A34" s="1125" t="s">
        <v>3415</v>
      </c>
      <c r="B34" s="1126" t="s">
        <v>1390</v>
      </c>
      <c r="C34" s="1127">
        <v>41442</v>
      </c>
      <c r="D34" s="1125" t="s">
        <v>3411</v>
      </c>
      <c r="E34" s="1125" t="s">
        <v>2362</v>
      </c>
    </row>
    <row r="35" spans="1:5" x14ac:dyDescent="0.2">
      <c r="A35" s="1125" t="s">
        <v>3416</v>
      </c>
      <c r="B35" s="1126" t="s">
        <v>3417</v>
      </c>
      <c r="C35" s="1127">
        <v>41442</v>
      </c>
      <c r="D35" s="1125" t="s">
        <v>3411</v>
      </c>
      <c r="E35" s="1125" t="s">
        <v>2362</v>
      </c>
    </row>
    <row r="36" spans="1:5" x14ac:dyDescent="0.2">
      <c r="A36" s="1125" t="s">
        <v>3418</v>
      </c>
      <c r="B36" s="1126" t="s">
        <v>3419</v>
      </c>
      <c r="C36" s="1127">
        <v>41442</v>
      </c>
      <c r="D36" s="1125" t="s">
        <v>3411</v>
      </c>
      <c r="E36" s="1125" t="s">
        <v>2362</v>
      </c>
    </row>
    <row r="37" spans="1:5" ht="27" customHeight="1" x14ac:dyDescent="0.2">
      <c r="A37" s="1125" t="s">
        <v>2653</v>
      </c>
      <c r="B37" s="1126" t="s">
        <v>2654</v>
      </c>
      <c r="C37" s="1127">
        <v>41477</v>
      </c>
      <c r="D37" s="1125" t="s">
        <v>2652</v>
      </c>
      <c r="E37" s="1125" t="s">
        <v>2362</v>
      </c>
    </row>
    <row r="38" spans="1:5" ht="24" customHeight="1" x14ac:dyDescent="0.2">
      <c r="A38" s="1125" t="s">
        <v>1753</v>
      </c>
      <c r="B38" s="1126" t="s">
        <v>2012</v>
      </c>
      <c r="C38" s="1127">
        <v>41563</v>
      </c>
      <c r="D38" s="1125" t="s">
        <v>1754</v>
      </c>
      <c r="E38" s="1125" t="s">
        <v>2362</v>
      </c>
    </row>
    <row r="39" spans="1:5" ht="23.45" customHeight="1" x14ac:dyDescent="0.2">
      <c r="A39" s="1125" t="s">
        <v>3869</v>
      </c>
      <c r="B39" s="1126" t="s">
        <v>3870</v>
      </c>
      <c r="C39" s="1127">
        <v>41564</v>
      </c>
      <c r="D39" s="1125" t="s">
        <v>1754</v>
      </c>
      <c r="E39" s="1125" t="s">
        <v>2362</v>
      </c>
    </row>
    <row r="40" spans="1:5" ht="24" customHeight="1" x14ac:dyDescent="0.2">
      <c r="A40" s="1125" t="s">
        <v>2010</v>
      </c>
      <c r="B40" s="1126" t="s">
        <v>2011</v>
      </c>
      <c r="C40" s="1127">
        <v>41565</v>
      </c>
      <c r="D40" s="1125" t="s">
        <v>1754</v>
      </c>
      <c r="E40" s="1125" t="s">
        <v>2362</v>
      </c>
    </row>
    <row r="41" spans="1:5" ht="22.5" x14ac:dyDescent="0.2">
      <c r="A41" s="1125" t="s">
        <v>3537</v>
      </c>
      <c r="B41" s="1126" t="s">
        <v>3538</v>
      </c>
      <c r="C41" s="1127">
        <v>41667</v>
      </c>
      <c r="D41" s="1125" t="s">
        <v>3536</v>
      </c>
      <c r="E41" s="1125" t="s">
        <v>2362</v>
      </c>
    </row>
    <row r="42" spans="1:5" ht="22.5" x14ac:dyDescent="0.2">
      <c r="A42" s="1125" t="s">
        <v>2655</v>
      </c>
      <c r="B42" s="1126" t="s">
        <v>2656</v>
      </c>
      <c r="C42" s="1127">
        <v>41730</v>
      </c>
      <c r="D42" s="1129" t="s">
        <v>2657</v>
      </c>
      <c r="E42" s="1125" t="s">
        <v>2362</v>
      </c>
    </row>
    <row r="43" spans="1:5" x14ac:dyDescent="0.2">
      <c r="A43" s="1130" t="s">
        <v>3975</v>
      </c>
      <c r="B43" s="1126" t="s">
        <v>4545</v>
      </c>
      <c r="C43" s="1127">
        <v>42334</v>
      </c>
      <c r="D43" s="1131" t="s">
        <v>3974</v>
      </c>
      <c r="E43" s="1125" t="s">
        <v>2362</v>
      </c>
    </row>
    <row r="44" spans="1:5" x14ac:dyDescent="0.2">
      <c r="A44" s="1130" t="s">
        <v>3976</v>
      </c>
      <c r="B44" s="1126" t="s">
        <v>3977</v>
      </c>
      <c r="C44" s="1127">
        <v>42572</v>
      </c>
      <c r="D44" s="1131" t="s">
        <v>3974</v>
      </c>
      <c r="E44" s="1125" t="s">
        <v>2362</v>
      </c>
    </row>
    <row r="45" spans="1:5" x14ac:dyDescent="0.2">
      <c r="A45" s="1130" t="s">
        <v>4437</v>
      </c>
      <c r="B45" s="1126" t="s">
        <v>4438</v>
      </c>
      <c r="C45" s="1127">
        <v>42656</v>
      </c>
      <c r="D45" s="1131" t="s">
        <v>4436</v>
      </c>
      <c r="E45" s="1125" t="s">
        <v>2362</v>
      </c>
    </row>
    <row r="46" spans="1:5" ht="22.5" x14ac:dyDescent="0.2">
      <c r="A46" s="1130" t="s">
        <v>4460</v>
      </c>
      <c r="B46" s="1126" t="s">
        <v>4461</v>
      </c>
      <c r="C46" s="1127">
        <v>42917</v>
      </c>
      <c r="D46" s="1131" t="s">
        <v>4459</v>
      </c>
      <c r="E46" s="1125" t="s">
        <v>2362</v>
      </c>
    </row>
    <row r="47" spans="1:5" x14ac:dyDescent="0.2">
      <c r="A47" s="1130" t="s">
        <v>4463</v>
      </c>
      <c r="B47" s="1126" t="s">
        <v>4466</v>
      </c>
      <c r="C47" s="1127">
        <v>42917</v>
      </c>
      <c r="D47" s="1131" t="s">
        <v>4462</v>
      </c>
      <c r="E47" s="1125" t="s">
        <v>2362</v>
      </c>
    </row>
    <row r="48" spans="1:5" ht="22.5" x14ac:dyDescent="0.2">
      <c r="A48" s="1130" t="s">
        <v>4467</v>
      </c>
      <c r="B48" s="1126" t="s">
        <v>4468</v>
      </c>
      <c r="C48" s="1127">
        <v>42917</v>
      </c>
      <c r="D48" s="1131" t="s">
        <v>4462</v>
      </c>
      <c r="E48" s="1125" t="s">
        <v>2362</v>
      </c>
    </row>
    <row r="49" spans="1:5" ht="33.75" x14ac:dyDescent="0.2">
      <c r="A49" s="1125">
        <v>29</v>
      </c>
      <c r="B49" s="1126" t="s">
        <v>4489</v>
      </c>
      <c r="C49" s="1127">
        <v>42919</v>
      </c>
      <c r="D49" s="1132" t="s">
        <v>4487</v>
      </c>
      <c r="E49" s="1125" t="s">
        <v>4488</v>
      </c>
    </row>
    <row r="50" spans="1:5" ht="22.5" x14ac:dyDescent="0.2">
      <c r="A50" s="1125">
        <v>30</v>
      </c>
      <c r="B50" s="1126" t="s">
        <v>4491</v>
      </c>
      <c r="C50" s="1127">
        <v>43140</v>
      </c>
      <c r="D50" s="1129" t="s">
        <v>4486</v>
      </c>
      <c r="E50" s="1125" t="s">
        <v>4490</v>
      </c>
    </row>
    <row r="51" spans="1:5" x14ac:dyDescent="0.2">
      <c r="A51" s="1125">
        <v>31</v>
      </c>
      <c r="B51" s="1126" t="s">
        <v>4542</v>
      </c>
      <c r="C51" s="1127">
        <v>43255</v>
      </c>
      <c r="D51" s="1129" t="s">
        <v>4543</v>
      </c>
      <c r="E51" s="1125" t="s">
        <v>4490</v>
      </c>
    </row>
    <row r="52" spans="1:5" x14ac:dyDescent="0.2">
      <c r="A52" s="1125">
        <v>32</v>
      </c>
      <c r="B52" s="1126" t="s">
        <v>4544</v>
      </c>
      <c r="C52" s="1127">
        <v>43437</v>
      </c>
      <c r="D52" s="1129" t="s">
        <v>4529</v>
      </c>
      <c r="E52" s="1125" t="s">
        <v>4490</v>
      </c>
    </row>
    <row r="53" spans="1:5" ht="22.5" x14ac:dyDescent="0.2">
      <c r="A53" s="1125">
        <v>33</v>
      </c>
      <c r="B53" s="1126" t="s">
        <v>4550</v>
      </c>
      <c r="C53" s="1127">
        <v>43557</v>
      </c>
      <c r="D53" s="1129" t="s">
        <v>4574</v>
      </c>
      <c r="E53" s="1125" t="s">
        <v>2362</v>
      </c>
    </row>
    <row r="54" spans="1:5" x14ac:dyDescent="0.2">
      <c r="A54" s="1125">
        <v>34</v>
      </c>
      <c r="B54" s="1126" t="s">
        <v>4546</v>
      </c>
      <c r="C54" s="1127">
        <v>43557</v>
      </c>
      <c r="D54" s="1129" t="s">
        <v>4574</v>
      </c>
      <c r="E54" s="1125" t="s">
        <v>2362</v>
      </c>
    </row>
    <row r="55" spans="1:5" x14ac:dyDescent="0.2">
      <c r="A55" s="1125">
        <v>35</v>
      </c>
      <c r="B55" s="1126" t="s">
        <v>4575</v>
      </c>
      <c r="C55" s="1127">
        <v>43563</v>
      </c>
      <c r="D55" s="1129" t="s">
        <v>4574</v>
      </c>
      <c r="E55" s="1125" t="s">
        <v>4490</v>
      </c>
    </row>
    <row r="56" spans="1:5" x14ac:dyDescent="0.2">
      <c r="A56" s="1125">
        <v>36</v>
      </c>
      <c r="B56" s="1126" t="s">
        <v>4596</v>
      </c>
      <c r="C56" s="1127">
        <v>43591</v>
      </c>
      <c r="D56" s="1129" t="s">
        <v>4597</v>
      </c>
      <c r="E56" s="1125" t="s">
        <v>4490</v>
      </c>
    </row>
    <row r="57" spans="1:5" x14ac:dyDescent="0.2">
      <c r="A57" s="1125">
        <v>37</v>
      </c>
      <c r="B57" s="1126" t="s">
        <v>4598</v>
      </c>
      <c r="C57" s="1127">
        <v>43612</v>
      </c>
      <c r="D57" s="1129" t="s">
        <v>4599</v>
      </c>
      <c r="E57" s="1125" t="s">
        <v>4488</v>
      </c>
    </row>
    <row r="58" spans="1:5" x14ac:dyDescent="0.2">
      <c r="A58" s="1125">
        <v>38</v>
      </c>
      <c r="B58" s="1126" t="s">
        <v>4600</v>
      </c>
      <c r="C58" s="1127">
        <v>43752</v>
      </c>
      <c r="D58" s="1132" t="s">
        <v>4590</v>
      </c>
      <c r="E58" s="1125" t="s">
        <v>4602</v>
      </c>
    </row>
    <row r="59" spans="1:5" x14ac:dyDescent="0.2">
      <c r="A59" s="1125">
        <v>39</v>
      </c>
      <c r="B59" s="1126" t="s">
        <v>4604</v>
      </c>
      <c r="C59" s="1127">
        <v>43755</v>
      </c>
      <c r="D59" s="1129" t="s">
        <v>4601</v>
      </c>
      <c r="E59" s="1125" t="s">
        <v>4603</v>
      </c>
    </row>
    <row r="60" spans="1:5" x14ac:dyDescent="0.2">
      <c r="A60" s="1125">
        <v>40</v>
      </c>
      <c r="B60" s="1126" t="s">
        <v>4605</v>
      </c>
      <c r="C60" s="1127">
        <v>43762</v>
      </c>
      <c r="D60" s="1129" t="s">
        <v>4462</v>
      </c>
      <c r="E60" s="1125" t="s">
        <v>2362</v>
      </c>
    </row>
    <row r="61" spans="1:5" x14ac:dyDescent="0.2">
      <c r="A61" s="1125">
        <v>41</v>
      </c>
      <c r="B61" s="1126" t="s">
        <v>4671</v>
      </c>
      <c r="C61" s="1127">
        <v>43788</v>
      </c>
      <c r="D61" s="1129" t="s">
        <v>4672</v>
      </c>
      <c r="E61" s="1125" t="s">
        <v>4602</v>
      </c>
    </row>
    <row r="62" spans="1:5" x14ac:dyDescent="0.2">
      <c r="A62" s="1125">
        <v>42</v>
      </c>
      <c r="B62" s="1126" t="s">
        <v>4673</v>
      </c>
      <c r="C62" s="1127">
        <v>43789</v>
      </c>
      <c r="D62" s="1132" t="s">
        <v>4674</v>
      </c>
      <c r="E62" s="1125" t="s">
        <v>4602</v>
      </c>
    </row>
    <row r="63" spans="1:5" x14ac:dyDescent="0.2">
      <c r="A63" s="1125">
        <v>43</v>
      </c>
      <c r="B63" s="1126" t="s">
        <v>4675</v>
      </c>
      <c r="C63" s="1127">
        <v>43816</v>
      </c>
      <c r="D63" s="1169" t="s">
        <v>4641</v>
      </c>
      <c r="E63" s="1130" t="s">
        <v>4602</v>
      </c>
    </row>
    <row r="64" spans="1:5" x14ac:dyDescent="0.2">
      <c r="A64" s="1125">
        <v>44</v>
      </c>
      <c r="B64" s="1139" t="s">
        <v>4710</v>
      </c>
      <c r="C64" s="1127">
        <v>43977</v>
      </c>
      <c r="D64" s="1169" t="s">
        <v>4709</v>
      </c>
      <c r="E64" s="1125" t="s">
        <v>4602</v>
      </c>
    </row>
    <row r="65" spans="1:5" x14ac:dyDescent="0.2">
      <c r="A65" s="1125">
        <v>45</v>
      </c>
      <c r="B65" s="1139" t="s">
        <v>4720</v>
      </c>
      <c r="C65" s="1127">
        <v>44077</v>
      </c>
      <c r="D65" s="1169" t="s">
        <v>4711</v>
      </c>
      <c r="E65" s="1125" t="s">
        <v>4602</v>
      </c>
    </row>
    <row r="66" spans="1:5" x14ac:dyDescent="0.2">
      <c r="A66" s="1125">
        <v>46</v>
      </c>
      <c r="B66" s="1139" t="s">
        <v>4720</v>
      </c>
      <c r="C66" s="1127">
        <v>44138</v>
      </c>
      <c r="D66" s="1169" t="s">
        <v>4894</v>
      </c>
      <c r="E66" s="1125" t="s">
        <v>4602</v>
      </c>
    </row>
    <row r="67" spans="1:5" x14ac:dyDescent="0.2">
      <c r="A67" s="1125">
        <v>47</v>
      </c>
      <c r="B67" s="1126" t="s">
        <v>4895</v>
      </c>
      <c r="C67" s="1127">
        <v>44168</v>
      </c>
      <c r="D67" s="1169" t="s">
        <v>4896</v>
      </c>
      <c r="E67" s="1125" t="s">
        <v>4602</v>
      </c>
    </row>
    <row r="68" spans="1:5" x14ac:dyDescent="0.2">
      <c r="A68" s="1125">
        <v>48</v>
      </c>
      <c r="B68" s="1126" t="s">
        <v>4897</v>
      </c>
      <c r="C68" s="1127">
        <v>44266</v>
      </c>
      <c r="D68" s="1169" t="s">
        <v>4899</v>
      </c>
      <c r="E68" s="1125" t="s">
        <v>4602</v>
      </c>
    </row>
    <row r="69" spans="1:5" ht="14.45" customHeight="1" x14ac:dyDescent="0.2">
      <c r="A69" s="1170">
        <v>49</v>
      </c>
      <c r="B69" s="1171" t="s">
        <v>4898</v>
      </c>
      <c r="C69" s="1174">
        <v>44271</v>
      </c>
      <c r="D69" s="1169" t="s">
        <v>4893</v>
      </c>
      <c r="E69" s="1125" t="s">
        <v>4602</v>
      </c>
    </row>
    <row r="70" spans="1:5" ht="14.45" customHeight="1" x14ac:dyDescent="0.2">
      <c r="A70" s="1172">
        <v>50</v>
      </c>
      <c r="B70" s="1173" t="s">
        <v>4982</v>
      </c>
      <c r="C70" s="1175">
        <v>44386</v>
      </c>
      <c r="D70" s="1176" t="s">
        <v>5088</v>
      </c>
      <c r="E70" s="1135" t="s">
        <v>4602</v>
      </c>
    </row>
    <row r="71" spans="1:5" x14ac:dyDescent="0.2">
      <c r="A71" s="1125">
        <v>51</v>
      </c>
      <c r="B71" s="1133" t="s">
        <v>5101</v>
      </c>
      <c r="C71" s="1174">
        <v>44550</v>
      </c>
      <c r="D71" s="1169" t="s">
        <v>4983</v>
      </c>
      <c r="E71" s="1125" t="s">
        <v>4602</v>
      </c>
    </row>
    <row r="72" spans="1:5" x14ac:dyDescent="0.2">
      <c r="A72" s="1125">
        <v>52</v>
      </c>
      <c r="B72" s="1133" t="s">
        <v>5159</v>
      </c>
      <c r="C72" s="1127">
        <v>44600</v>
      </c>
      <c r="D72" s="1169" t="s">
        <v>5089</v>
      </c>
      <c r="E72" s="1125" t="s">
        <v>4602</v>
      </c>
    </row>
    <row r="73" spans="1:5" x14ac:dyDescent="0.2">
      <c r="A73" s="1125">
        <v>53</v>
      </c>
      <c r="B73" s="1133" t="s">
        <v>5160</v>
      </c>
      <c r="C73" s="1127">
        <v>44680</v>
      </c>
      <c r="D73" s="1169" t="s">
        <v>5090</v>
      </c>
      <c r="E73" s="1130" t="s">
        <v>4602</v>
      </c>
    </row>
    <row r="74" spans="1:5" x14ac:dyDescent="0.2">
      <c r="A74" s="1125">
        <v>54</v>
      </c>
      <c r="B74" s="1133" t="s">
        <v>5170</v>
      </c>
      <c r="C74" s="1127">
        <v>44736</v>
      </c>
      <c r="D74" s="1169" t="s">
        <v>5091</v>
      </c>
      <c r="E74" s="1125" t="s">
        <v>4602</v>
      </c>
    </row>
    <row r="75" spans="1:5" x14ac:dyDescent="0.2">
      <c r="A75" s="1125">
        <v>55</v>
      </c>
      <c r="B75" s="1133" t="s">
        <v>5170</v>
      </c>
      <c r="C75" s="1127">
        <v>44757</v>
      </c>
      <c r="D75" s="1169" t="s">
        <v>5092</v>
      </c>
      <c r="E75" s="1125" t="s">
        <v>4602</v>
      </c>
    </row>
    <row r="76" spans="1:5" x14ac:dyDescent="0.2">
      <c r="A76" s="1125">
        <v>56</v>
      </c>
      <c r="B76" s="1133" t="s">
        <v>5177</v>
      </c>
      <c r="C76" s="1127">
        <v>44775</v>
      </c>
      <c r="D76" s="1169" t="s">
        <v>5093</v>
      </c>
      <c r="E76" s="1125" t="s">
        <v>4602</v>
      </c>
    </row>
    <row r="77" spans="1:5" x14ac:dyDescent="0.2">
      <c r="A77" s="1125">
        <v>57</v>
      </c>
      <c r="B77" s="1133" t="s">
        <v>5188</v>
      </c>
      <c r="C77" s="1127">
        <v>44805</v>
      </c>
      <c r="D77" s="1169" t="s">
        <v>5094</v>
      </c>
      <c r="E77" s="1125" t="s">
        <v>4602</v>
      </c>
    </row>
    <row r="78" spans="1:5" x14ac:dyDescent="0.2">
      <c r="A78" s="1125">
        <v>58</v>
      </c>
      <c r="B78" s="1133" t="s">
        <v>5266</v>
      </c>
      <c r="C78" s="1127">
        <v>44929</v>
      </c>
      <c r="D78" s="1169" t="s">
        <v>5095</v>
      </c>
      <c r="E78" s="1125" t="s">
        <v>4602</v>
      </c>
    </row>
    <row r="79" spans="1:5" x14ac:dyDescent="0.2">
      <c r="A79" s="1125">
        <v>59</v>
      </c>
      <c r="B79" s="1133" t="s">
        <v>5278</v>
      </c>
      <c r="C79" s="1127">
        <v>45022</v>
      </c>
      <c r="D79" s="1169" t="s">
        <v>5096</v>
      </c>
      <c r="E79" s="1125" t="s">
        <v>4602</v>
      </c>
    </row>
    <row r="80" spans="1:5" x14ac:dyDescent="0.2">
      <c r="A80" s="1125">
        <v>60</v>
      </c>
      <c r="B80" s="1134" t="s">
        <v>5305</v>
      </c>
      <c r="C80" s="1127">
        <v>45112</v>
      </c>
      <c r="D80" s="1169" t="s">
        <v>5097</v>
      </c>
      <c r="E80" s="1125" t="s">
        <v>4602</v>
      </c>
    </row>
    <row r="81" spans="1:5" x14ac:dyDescent="0.2">
      <c r="A81" s="1125">
        <v>61</v>
      </c>
      <c r="B81" s="1134" t="s">
        <v>5331</v>
      </c>
      <c r="C81" s="1127">
        <v>45197</v>
      </c>
      <c r="D81" s="1169" t="s">
        <v>5098</v>
      </c>
      <c r="E81" s="1130" t="s">
        <v>4602</v>
      </c>
    </row>
    <row r="82" spans="1:5" x14ac:dyDescent="0.2">
      <c r="A82" s="1125">
        <v>62</v>
      </c>
      <c r="B82" s="1133" t="s">
        <v>5364</v>
      </c>
      <c r="C82" s="1127">
        <v>45280</v>
      </c>
      <c r="D82" s="1169" t="s">
        <v>5099</v>
      </c>
      <c r="E82" s="1125" t="s">
        <v>4602</v>
      </c>
    </row>
    <row r="83" spans="1:5" x14ac:dyDescent="0.2">
      <c r="A83" s="1125">
        <v>63</v>
      </c>
      <c r="B83" s="1133" t="s">
        <v>5412</v>
      </c>
      <c r="C83" s="1127">
        <v>45379</v>
      </c>
      <c r="D83" s="1169" t="s">
        <v>5100</v>
      </c>
      <c r="E83" s="1125" t="s">
        <v>4602</v>
      </c>
    </row>
    <row r="84" spans="1:5" x14ac:dyDescent="0.2">
      <c r="A84" s="1125">
        <v>64</v>
      </c>
      <c r="B84" s="1133" t="s">
        <v>5501</v>
      </c>
      <c r="C84" s="1127">
        <v>45478</v>
      </c>
      <c r="D84" s="1169" t="s">
        <v>5413</v>
      </c>
      <c r="E84" s="1125" t="s">
        <v>4602</v>
      </c>
    </row>
    <row r="85" spans="1:5" x14ac:dyDescent="0.2">
      <c r="A85" s="1125">
        <v>65</v>
      </c>
      <c r="B85" s="1133" t="s">
        <v>5563</v>
      </c>
      <c r="C85" s="1127">
        <v>45580</v>
      </c>
      <c r="D85" s="1169" t="s">
        <v>5562</v>
      </c>
      <c r="E85" s="1125" t="s">
        <v>4602</v>
      </c>
    </row>
    <row r="86" spans="1:5" x14ac:dyDescent="0.2">
      <c r="A86" s="1125">
        <v>66</v>
      </c>
      <c r="B86" s="1133" t="s">
        <v>5614</v>
      </c>
      <c r="C86" s="1127">
        <v>45681</v>
      </c>
      <c r="D86" s="1169" t="s">
        <v>5564</v>
      </c>
      <c r="E86" s="1125" t="s">
        <v>4602</v>
      </c>
    </row>
    <row r="87" spans="1:5" x14ac:dyDescent="0.2">
      <c r="A87" s="1125">
        <v>67</v>
      </c>
      <c r="B87" s="1133" t="s">
        <v>5659</v>
      </c>
      <c r="C87" s="1127">
        <v>45900</v>
      </c>
      <c r="D87" s="1169" t="s">
        <v>5565</v>
      </c>
      <c r="E87" s="1130" t="s">
        <v>4602</v>
      </c>
    </row>
    <row r="88" spans="1:5" x14ac:dyDescent="0.2">
      <c r="A88" s="1125">
        <v>68</v>
      </c>
      <c r="B88" s="1133" t="s">
        <v>5658</v>
      </c>
      <c r="C88" s="1127">
        <v>45916</v>
      </c>
      <c r="D88" s="1169" t="s">
        <v>5566</v>
      </c>
      <c r="E88" s="1130" t="s">
        <v>4602</v>
      </c>
    </row>
    <row r="89" spans="1:5" x14ac:dyDescent="0.2">
      <c r="A89" s="1125">
        <v>69</v>
      </c>
      <c r="B89" s="1133" t="s">
        <v>5685</v>
      </c>
      <c r="C89" s="1127">
        <v>45993</v>
      </c>
      <c r="D89" s="1169" t="s">
        <v>5567</v>
      </c>
      <c r="E89" s="1125" t="s">
        <v>4602</v>
      </c>
    </row>
    <row r="90" spans="1:5" x14ac:dyDescent="0.2">
      <c r="A90" s="1125">
        <v>70</v>
      </c>
      <c r="B90" s="1133" t="s">
        <v>5685</v>
      </c>
      <c r="C90" s="1127">
        <v>45685</v>
      </c>
      <c r="D90" s="1169" t="s">
        <v>5568</v>
      </c>
      <c r="E90" s="1125" t="s">
        <v>4602</v>
      </c>
    </row>
    <row r="91" spans="1:5" x14ac:dyDescent="0.2">
      <c r="A91" s="1125"/>
      <c r="B91" s="1133"/>
      <c r="C91" s="1127"/>
      <c r="D91" s="1169" t="s">
        <v>5569</v>
      </c>
      <c r="E91" s="1125"/>
    </row>
    <row r="92" spans="1:5" x14ac:dyDescent="0.2">
      <c r="A92" s="1125"/>
      <c r="B92" s="1133"/>
      <c r="C92" s="1127"/>
      <c r="D92" s="1169" t="s">
        <v>5570</v>
      </c>
      <c r="E92" s="1125"/>
    </row>
    <row r="93" spans="1:5" x14ac:dyDescent="0.2">
      <c r="A93" s="1125"/>
      <c r="B93" s="1133"/>
      <c r="C93" s="1127"/>
      <c r="D93" s="1169" t="s">
        <v>5571</v>
      </c>
      <c r="E93" s="1125"/>
    </row>
    <row r="94" spans="1:5" x14ac:dyDescent="0.2">
      <c r="A94" s="1125"/>
      <c r="B94" s="1133"/>
      <c r="C94" s="1127"/>
      <c r="D94" s="1169" t="s">
        <v>5572</v>
      </c>
      <c r="E94" s="1125"/>
    </row>
    <row r="95" spans="1:5" x14ac:dyDescent="0.2">
      <c r="A95" s="1125"/>
      <c r="B95" s="1133"/>
      <c r="C95" s="1127"/>
      <c r="D95" s="1169" t="s">
        <v>5573</v>
      </c>
      <c r="E95" s="1125"/>
    </row>
    <row r="96" spans="1:5" x14ac:dyDescent="0.2">
      <c r="A96" s="1125"/>
      <c r="B96" s="1133"/>
      <c r="C96" s="1127"/>
      <c r="D96" s="1169" t="s">
        <v>5574</v>
      </c>
      <c r="E96" s="1125"/>
    </row>
    <row r="97" spans="1:5" x14ac:dyDescent="0.2">
      <c r="A97" s="1125"/>
      <c r="B97" s="1133"/>
      <c r="C97" s="1127"/>
      <c r="D97" s="1169" t="s">
        <v>5575</v>
      </c>
      <c r="E97" s="1125"/>
    </row>
    <row r="98" spans="1:5" x14ac:dyDescent="0.2">
      <c r="A98" s="1125"/>
      <c r="B98" s="1133"/>
      <c r="C98" s="1127"/>
      <c r="D98" s="1169" t="s">
        <v>5576</v>
      </c>
      <c r="E98" s="1125"/>
    </row>
    <row r="99" spans="1:5" x14ac:dyDescent="0.2">
      <c r="A99" s="1125"/>
      <c r="B99" s="1133"/>
      <c r="C99" s="1127"/>
      <c r="D99" s="1169" t="s">
        <v>5577</v>
      </c>
      <c r="E99" s="1125"/>
    </row>
    <row r="100" spans="1:5" x14ac:dyDescent="0.2">
      <c r="A100" s="1125"/>
      <c r="B100" s="1133"/>
      <c r="C100" s="1127"/>
      <c r="D100" s="1128"/>
      <c r="E100" s="1125"/>
    </row>
    <row r="101" spans="1:5" x14ac:dyDescent="0.2">
      <c r="A101" s="1125"/>
      <c r="B101" s="1133"/>
      <c r="C101" s="1127"/>
      <c r="D101" s="1128"/>
      <c r="E101" s="1125"/>
    </row>
    <row r="102" spans="1:5" x14ac:dyDescent="0.2">
      <c r="A102" s="1125"/>
      <c r="B102" s="1133"/>
      <c r="C102" s="1127"/>
      <c r="D102" s="1128"/>
      <c r="E102" s="1125"/>
    </row>
    <row r="103" spans="1:5" x14ac:dyDescent="0.2">
      <c r="A103" s="1135"/>
      <c r="B103" s="1136"/>
      <c r="C103" s="1137"/>
      <c r="D103" s="1138"/>
      <c r="E103" s="1135"/>
    </row>
    <row r="104" spans="1:5" x14ac:dyDescent="0.2">
      <c r="A104" s="1125"/>
      <c r="B104" s="1133"/>
      <c r="C104" s="1127"/>
      <c r="D104" s="1128"/>
      <c r="E104" s="1125"/>
    </row>
    <row r="105" spans="1:5" x14ac:dyDescent="0.2">
      <c r="A105" s="1125"/>
      <c r="B105" s="1133"/>
      <c r="C105" s="1127"/>
      <c r="D105" s="1128"/>
      <c r="E105" s="1125"/>
    </row>
  </sheetData>
  <sheetProtection algorithmName="SHA-512" hashValue="/r5+8rlBkIFFv63TYrb7zySV8EhZsorOXCFYxerk6SG+146YDMe5tJICp1q7Nwb13Rha28Zbyg81iyE62ixOzg==" saltValue="CmSrKCoEA9MA8XR1fR35Cw=="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x14ac:dyDescent="0.2"/>
  <cols>
    <col min="1" max="3" width="11.42578125" style="490" customWidth="1"/>
    <col min="4" max="68" width="4.85546875" style="490" customWidth="1"/>
    <col min="69" max="69" width="3.7109375" style="490" customWidth="1"/>
    <col min="70" max="16384" width="11.42578125" style="490"/>
  </cols>
  <sheetData>
    <row r="2" spans="1:68" x14ac:dyDescent="0.2">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x14ac:dyDescent="0.2">
      <c r="C3" s="490" t="s">
        <v>3666</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x14ac:dyDescent="0.2">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x14ac:dyDescent="0.2">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x14ac:dyDescent="0.2">
      <c r="A6" s="492" t="e">
        <f ca="1">SUM(D6:BP6)</f>
        <v>#REF!</v>
      </c>
      <c r="B6" s="493" t="s">
        <v>3665</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x14ac:dyDescent="0.2">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x14ac:dyDescent="0.2">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x14ac:dyDescent="0.2">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x14ac:dyDescent="0.2">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x14ac:dyDescent="0.2">
      <c r="B11" s="493" t="s">
        <v>3666</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x14ac:dyDescent="0.2">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x14ac:dyDescent="0.2">
      <c r="B13" s="493" t="s">
        <v>3650</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x14ac:dyDescent="0.2">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C7" sqref="C7:F713 A8 C2 B282 E2:E3"/>
    </sheetView>
  </sheetViews>
  <sheetFormatPr baseColWidth="10" defaultColWidth="11.5703125" defaultRowHeight="12.75" x14ac:dyDescent="0.2"/>
  <cols>
    <col min="1" max="1" width="5.140625" style="1142" customWidth="1"/>
    <col min="2" max="2" width="24.7109375" style="1142" customWidth="1"/>
    <col min="3" max="4" width="24.7109375" style="1140" customWidth="1"/>
    <col min="5" max="5" width="24.7109375" style="1142" customWidth="1"/>
    <col min="6" max="6" width="25.42578125" style="1140" customWidth="1"/>
    <col min="7" max="16384" width="11.5703125" style="1142"/>
  </cols>
  <sheetData>
    <row r="2" spans="1:7" ht="19.899999999999999" customHeight="1" x14ac:dyDescent="0.2">
      <c r="A2" s="1256" t="s">
        <v>1226</v>
      </c>
      <c r="B2" s="1256"/>
      <c r="C2" s="1140">
        <v>2</v>
      </c>
      <c r="D2" s="1141" t="s">
        <v>76</v>
      </c>
      <c r="E2" s="1144" t="s">
        <v>5568</v>
      </c>
      <c r="G2" s="1142" t="s">
        <v>1227</v>
      </c>
    </row>
    <row r="3" spans="1:7" ht="19.899999999999999" customHeight="1" x14ac:dyDescent="0.2">
      <c r="A3" s="1143"/>
      <c r="B3" s="1143"/>
      <c r="D3" s="1141" t="s">
        <v>77</v>
      </c>
      <c r="E3" s="1208">
        <v>46387</v>
      </c>
      <c r="G3" s="1142" t="s">
        <v>74</v>
      </c>
    </row>
    <row r="4" spans="1:7" ht="19.899999999999999" customHeight="1" x14ac:dyDescent="0.2">
      <c r="A4" s="1145"/>
      <c r="B4" s="1146" t="s">
        <v>3470</v>
      </c>
      <c r="C4" s="1147" t="s">
        <v>1227</v>
      </c>
      <c r="D4" s="1148" t="s">
        <v>1228</v>
      </c>
      <c r="E4" s="1149" t="s">
        <v>1229</v>
      </c>
      <c r="F4" s="1148" t="s">
        <v>1697</v>
      </c>
      <c r="G4" s="1142" t="s">
        <v>75</v>
      </c>
    </row>
    <row r="5" spans="1:7" ht="19.899999999999999" customHeight="1" x14ac:dyDescent="0.2">
      <c r="A5" s="1150"/>
      <c r="B5" s="1145"/>
      <c r="C5" s="1151"/>
      <c r="D5" s="1152"/>
      <c r="E5" s="1153"/>
    </row>
    <row r="6" spans="1:7" ht="15.75" x14ac:dyDescent="0.25">
      <c r="A6" s="1154"/>
      <c r="B6" s="1155"/>
      <c r="C6" s="1156" t="s">
        <v>2705</v>
      </c>
      <c r="D6" s="1157"/>
      <c r="E6" s="1158"/>
    </row>
    <row r="7" spans="1:7" x14ac:dyDescent="0.2">
      <c r="A7" s="1159">
        <v>1</v>
      </c>
      <c r="B7" s="1160" t="str">
        <f t="shared" ref="B7:B38" si="0">IF(F7&lt;&gt;"",F7,INDEX($C$7:$F$713,A7,$C$2))</f>
        <v>PAC</v>
      </c>
      <c r="C7" s="1161" t="s">
        <v>2086</v>
      </c>
      <c r="D7" s="1157" t="s">
        <v>3712</v>
      </c>
      <c r="E7" s="1158" t="s">
        <v>1515</v>
      </c>
    </row>
    <row r="8" spans="1:7" ht="24" x14ac:dyDescent="0.2">
      <c r="A8" s="1159">
        <v>2</v>
      </c>
      <c r="B8" s="1160" t="str">
        <f>IF(F8&lt;&gt;"",F8,INDEX($C$7:$F$713,A8,$C$2))</f>
        <v>WPesti / V 8.3.38 / 19.12.2025                valable jusqu'à 31.12.2026</v>
      </c>
      <c r="C8" s="1161" t="s">
        <v>708</v>
      </c>
      <c r="D8" s="1160" t="s">
        <v>708</v>
      </c>
      <c r="E8" s="1158" t="s">
        <v>708</v>
      </c>
      <c r="F8" s="1140" t="str">
        <f>INDEX($C$7:$F$713,A8,$C$2)&amp;E2&amp;" / "&amp;TEXT(WP_Daten!E2,"tt.MM.jjjj                ")&amp;B282&amp;TEXT(E3,"tt.MM.jjjj")</f>
        <v>WPesti / V 8.3.38 / 19.12.2025                valable jusqu'à 31.12.2026</v>
      </c>
    </row>
    <row r="9" spans="1:7" x14ac:dyDescent="0.2">
      <c r="A9" s="1159">
        <v>3</v>
      </c>
      <c r="B9" s="1160" t="str">
        <f t="shared" si="0"/>
        <v>Projet:</v>
      </c>
      <c r="C9" s="1161" t="s">
        <v>3473</v>
      </c>
      <c r="D9" s="1157" t="s">
        <v>3289</v>
      </c>
      <c r="E9" s="1158" t="s">
        <v>2536</v>
      </c>
    </row>
    <row r="10" spans="1:7" ht="13.15" customHeight="1" x14ac:dyDescent="0.2">
      <c r="A10" s="1159">
        <v>4</v>
      </c>
      <c r="B10" s="1160" t="str">
        <f t="shared" si="0"/>
        <v>Données concernant le bâtiment</v>
      </c>
      <c r="C10" s="1161" t="s">
        <v>731</v>
      </c>
      <c r="D10" s="1162" t="s">
        <v>1230</v>
      </c>
      <c r="E10" s="1158" t="s">
        <v>2953</v>
      </c>
    </row>
    <row r="11" spans="1:7" x14ac:dyDescent="0.2">
      <c r="A11" s="1159">
        <v>5</v>
      </c>
      <c r="B11" s="1160" t="str">
        <f t="shared" si="0"/>
        <v xml:space="preserve">Station climatique:    </v>
      </c>
      <c r="C11" s="1161" t="s">
        <v>733</v>
      </c>
      <c r="D11" s="1157" t="s">
        <v>1232</v>
      </c>
      <c r="E11" s="1158" t="s">
        <v>1516</v>
      </c>
    </row>
    <row r="12" spans="1:7" ht="24" x14ac:dyDescent="0.2">
      <c r="A12" s="1159">
        <v>6</v>
      </c>
      <c r="B12" s="1160" t="str">
        <f t="shared" si="0"/>
        <v>Surface de référence énergétique SRE</v>
      </c>
      <c r="C12" s="1161" t="s">
        <v>2340</v>
      </c>
      <c r="D12" s="1157" t="s">
        <v>1231</v>
      </c>
      <c r="E12" s="1158" t="s">
        <v>1517</v>
      </c>
    </row>
    <row r="13" spans="1:7" x14ac:dyDescent="0.2">
      <c r="A13" s="1159">
        <v>7</v>
      </c>
      <c r="B13" s="1160" t="str">
        <f t="shared" si="0"/>
        <v>Catégorie d'ouvrage</v>
      </c>
      <c r="C13" s="1161" t="s">
        <v>735</v>
      </c>
      <c r="D13" s="1157" t="s">
        <v>3672</v>
      </c>
      <c r="E13" s="1158" t="s">
        <v>1614</v>
      </c>
    </row>
    <row r="14" spans="1:7" ht="36" x14ac:dyDescent="0.2">
      <c r="A14" s="1159">
        <v>8</v>
      </c>
      <c r="B14" s="1160" t="str">
        <f t="shared" si="0"/>
        <v>Besoins de chaleur pour le chauffage selon SIA 380/1</v>
      </c>
      <c r="C14" s="1161" t="s">
        <v>740</v>
      </c>
      <c r="D14" s="1157" t="s">
        <v>1233</v>
      </c>
      <c r="E14" s="1158" t="s">
        <v>1615</v>
      </c>
    </row>
    <row r="15" spans="1:7" ht="24" x14ac:dyDescent="0.2">
      <c r="A15" s="1159">
        <v>9</v>
      </c>
      <c r="B15" s="1160" t="str">
        <f t="shared" si="0"/>
        <v>Déperditions par transmission selon SIA 380/1</v>
      </c>
      <c r="C15" s="1161" t="s">
        <v>743</v>
      </c>
      <c r="D15" s="1157" t="s">
        <v>1234</v>
      </c>
      <c r="E15" s="1158" t="s">
        <v>3897</v>
      </c>
    </row>
    <row r="16" spans="1:7" ht="36" x14ac:dyDescent="0.2">
      <c r="A16" s="1159">
        <v>10</v>
      </c>
      <c r="B16" s="1160" t="str">
        <f t="shared" si="0"/>
        <v>Déperditions par renouvellement d'air selon SIA 380/1</v>
      </c>
      <c r="C16" s="1161" t="s">
        <v>749</v>
      </c>
      <c r="D16" s="1157" t="s">
        <v>1235</v>
      </c>
      <c r="E16" s="1158" t="s">
        <v>3898</v>
      </c>
    </row>
    <row r="17" spans="1:6" ht="36" x14ac:dyDescent="0.2">
      <c r="A17" s="1159">
        <v>11</v>
      </c>
      <c r="B17" s="1160" t="str">
        <f t="shared" si="0"/>
        <v>Chauffage: pertes supplémentaires de distribution de chaleur</v>
      </c>
      <c r="C17" s="1161" t="s">
        <v>3642</v>
      </c>
      <c r="D17" s="1157" t="s">
        <v>1881</v>
      </c>
      <c r="E17" s="1158" t="s">
        <v>1616</v>
      </c>
    </row>
    <row r="18" spans="1:6" ht="24" x14ac:dyDescent="0.2">
      <c r="A18" s="1159">
        <v>12</v>
      </c>
      <c r="B18" s="1160" t="str">
        <f t="shared" si="0"/>
        <v>Durée de coupure d'alimentation de la PAC</v>
      </c>
      <c r="C18" s="1161" t="s">
        <v>3646</v>
      </c>
      <c r="D18" s="1157" t="s">
        <v>1469</v>
      </c>
      <c r="E18" s="1158" t="s">
        <v>808</v>
      </c>
    </row>
    <row r="19" spans="1:6" ht="23.45" customHeight="1" x14ac:dyDescent="0.2">
      <c r="A19" s="1159">
        <v>13</v>
      </c>
      <c r="B19" s="1160" t="str">
        <f t="shared" si="0"/>
        <v>Puissance de chauffage nécessaire sans ECS à °C</v>
      </c>
      <c r="C19" s="1161" t="s">
        <v>3607</v>
      </c>
      <c r="D19" s="1157" t="s">
        <v>3609</v>
      </c>
      <c r="E19" s="1158" t="s">
        <v>3608</v>
      </c>
      <c r="F19" s="1140" t="str">
        <f>IF(TaMin&lt;&gt;0,INDEX($C$7:$F$713,A19,$C$2)&amp;TaMin&amp;"°C",INDEX($C$7:$F$713,A19,$C$2)&amp;"-8°C")</f>
        <v>Puissance de chauffage nécessaire sans ECS à °C</v>
      </c>
    </row>
    <row r="20" spans="1:6" ht="36" x14ac:dyDescent="0.2">
      <c r="A20" s="1159">
        <v>14</v>
      </c>
      <c r="B20" s="1160" t="str">
        <f t="shared" si="0"/>
        <v>Besoins de chaleur pour l'ECS selon SIA 380/1</v>
      </c>
      <c r="C20" s="1161" t="s">
        <v>1396</v>
      </c>
      <c r="D20" s="1157" t="s">
        <v>1879</v>
      </c>
      <c r="E20" s="1158" t="s">
        <v>1617</v>
      </c>
    </row>
    <row r="21" spans="1:6" ht="48" x14ac:dyDescent="0.2">
      <c r="A21" s="1159">
        <v>15</v>
      </c>
      <c r="B21" s="1160" t="str">
        <f t="shared" si="0"/>
        <v>Eau chaude sanitaire: pertes supplémentaires d'accumulation et de distribution</v>
      </c>
      <c r="C21" s="1161" t="s">
        <v>1400</v>
      </c>
      <c r="D21" s="1157" t="s">
        <v>1880</v>
      </c>
      <c r="E21" s="1158" t="s">
        <v>1618</v>
      </c>
    </row>
    <row r="22" spans="1:6" ht="24" x14ac:dyDescent="0.2">
      <c r="A22" s="1159">
        <v>16</v>
      </c>
      <c r="B22" s="1160" t="str">
        <f t="shared" si="0"/>
        <v>Installation de pompe à chaleur</v>
      </c>
      <c r="C22" s="1161" t="s">
        <v>1407</v>
      </c>
      <c r="D22" s="1157" t="s">
        <v>1236</v>
      </c>
      <c r="E22" s="1158" t="s">
        <v>3899</v>
      </c>
    </row>
    <row r="23" spans="1:6" ht="24" x14ac:dyDescent="0.2">
      <c r="A23" s="1159">
        <v>17</v>
      </c>
      <c r="B23" s="1160" t="str">
        <f t="shared" si="0"/>
        <v>Nom et type de PAC</v>
      </c>
      <c r="C23" s="1161" t="s">
        <v>1412</v>
      </c>
      <c r="D23" s="1157" t="s">
        <v>1237</v>
      </c>
      <c r="E23" s="1158" t="s">
        <v>1619</v>
      </c>
    </row>
    <row r="24" spans="1:6" x14ac:dyDescent="0.2">
      <c r="A24" s="1159">
        <v>18</v>
      </c>
      <c r="B24" s="1160" t="str">
        <f t="shared" si="0"/>
        <v>choisir -&gt;</v>
      </c>
      <c r="C24" s="1161" t="s">
        <v>1238</v>
      </c>
      <c r="D24" s="1157" t="s">
        <v>1239</v>
      </c>
      <c r="E24" s="1158" t="s">
        <v>521</v>
      </c>
    </row>
    <row r="25" spans="1:6" x14ac:dyDescent="0.2">
      <c r="A25" s="1159">
        <v>19</v>
      </c>
      <c r="B25" s="1160" t="str">
        <f t="shared" si="0"/>
        <v xml:space="preserve">   Erreur!</v>
      </c>
      <c r="C25" s="1161" t="s">
        <v>1240</v>
      </c>
      <c r="D25" s="1157" t="s">
        <v>73</v>
      </c>
      <c r="E25" s="1158" t="s">
        <v>1620</v>
      </c>
    </row>
    <row r="26" spans="1:6" x14ac:dyDescent="0.2">
      <c r="A26" s="1159">
        <v>20</v>
      </c>
      <c r="B26" s="1160" t="str">
        <f t="shared" si="0"/>
        <v>Source de chaleur:</v>
      </c>
      <c r="C26" s="1161" t="s">
        <v>3316</v>
      </c>
      <c r="D26" s="1157" t="s">
        <v>1514</v>
      </c>
      <c r="E26" s="1158" t="s">
        <v>753</v>
      </c>
    </row>
    <row r="27" spans="1:6" ht="24" x14ac:dyDescent="0.2">
      <c r="A27" s="1159">
        <v>21</v>
      </c>
      <c r="B27" s="1160" t="str">
        <f t="shared" si="0"/>
        <v>Utilisation (chauffage ou eau chaude sanitaire)</v>
      </c>
      <c r="C27" s="1161" t="s">
        <v>3347</v>
      </c>
      <c r="D27" s="1157" t="s">
        <v>1882</v>
      </c>
      <c r="E27" s="1158" t="s">
        <v>3900</v>
      </c>
    </row>
    <row r="28" spans="1:6" ht="24" x14ac:dyDescent="0.2">
      <c r="A28" s="1159">
        <v>22</v>
      </c>
      <c r="B28" s="1160" t="str">
        <f t="shared" si="0"/>
        <v>Mode de fonctionnement de la PAC</v>
      </c>
      <c r="C28" s="1161" t="s">
        <v>3475</v>
      </c>
      <c r="D28" s="1157" t="s">
        <v>1241</v>
      </c>
      <c r="E28" s="1158" t="s">
        <v>50</v>
      </c>
    </row>
    <row r="29" spans="1:6" ht="24" x14ac:dyDescent="0.2">
      <c r="A29" s="1159">
        <v>23</v>
      </c>
      <c r="B29" s="1160" t="str">
        <f t="shared" si="0"/>
        <v>Accumulateur de chaleur</v>
      </c>
      <c r="C29" s="1161" t="s">
        <v>1242</v>
      </c>
      <c r="D29" s="1157" t="s">
        <v>1243</v>
      </c>
      <c r="E29" s="1158" t="s">
        <v>1621</v>
      </c>
    </row>
    <row r="30" spans="1:6" ht="24" x14ac:dyDescent="0.2">
      <c r="A30" s="1159">
        <v>24</v>
      </c>
      <c r="B30" s="1160" t="str">
        <f t="shared" si="0"/>
        <v>Commande de l'appoint électrique de chauffage</v>
      </c>
      <c r="C30" s="1161" t="s">
        <v>1244</v>
      </c>
      <c r="D30" s="1157" t="s">
        <v>1883</v>
      </c>
      <c r="E30" s="1158" t="s">
        <v>1622</v>
      </c>
    </row>
    <row r="31" spans="1:6" x14ac:dyDescent="0.2">
      <c r="A31" s="1159">
        <v>25</v>
      </c>
      <c r="B31" s="1160" t="str">
        <f t="shared" si="0"/>
        <v>Installation solaire</v>
      </c>
      <c r="C31" s="1161" t="s">
        <v>119</v>
      </c>
      <c r="D31" s="1157" t="s">
        <v>3277</v>
      </c>
      <c r="E31" s="1158" t="s">
        <v>3901</v>
      </c>
    </row>
    <row r="32" spans="1:6" x14ac:dyDescent="0.2">
      <c r="A32" s="1159">
        <v>26</v>
      </c>
      <c r="B32" s="1160" t="str">
        <f t="shared" si="0"/>
        <v>Résultats</v>
      </c>
      <c r="C32" s="1161" t="s">
        <v>3931</v>
      </c>
      <c r="D32" s="1157" t="s">
        <v>1245</v>
      </c>
      <c r="E32" s="1158" t="s">
        <v>3902</v>
      </c>
    </row>
    <row r="33" spans="1:5" ht="24" x14ac:dyDescent="0.2">
      <c r="A33" s="1159">
        <v>27</v>
      </c>
      <c r="B33" s="1160" t="str">
        <f t="shared" si="0"/>
        <v>Part d'énergie fossile d'appoint pour le chauffage</v>
      </c>
      <c r="C33" s="1161" t="s">
        <v>1246</v>
      </c>
      <c r="D33" s="1157" t="s">
        <v>1888</v>
      </c>
      <c r="E33" s="1158" t="s">
        <v>1623</v>
      </c>
    </row>
    <row r="34" spans="1:5" ht="24" x14ac:dyDescent="0.2">
      <c r="A34" s="1159">
        <v>28</v>
      </c>
      <c r="B34" s="1160" t="str">
        <f t="shared" si="0"/>
        <v>Part d'énergie électrique pour le chauffage</v>
      </c>
      <c r="C34" s="1161" t="s">
        <v>704</v>
      </c>
      <c r="D34" s="1157" t="s">
        <v>1886</v>
      </c>
      <c r="E34" s="1158" t="s">
        <v>1624</v>
      </c>
    </row>
    <row r="35" spans="1:5" ht="36" x14ac:dyDescent="0.2">
      <c r="A35" s="1159">
        <v>29</v>
      </c>
      <c r="B35" s="1160" t="str">
        <f t="shared" si="0"/>
        <v>Part non couverte des besoins de chaleur pour le chauffage</v>
      </c>
      <c r="C35" s="1161" t="s">
        <v>878</v>
      </c>
      <c r="D35" s="1157" t="s">
        <v>1884</v>
      </c>
      <c r="E35" s="1158" t="s">
        <v>1664</v>
      </c>
    </row>
    <row r="36" spans="1:5" ht="24" x14ac:dyDescent="0.2">
      <c r="A36" s="1159">
        <v>30</v>
      </c>
      <c r="B36" s="1160" t="str">
        <f t="shared" si="0"/>
        <v>Part d'énergie électrique pour l'ECS</v>
      </c>
      <c r="C36" s="1161" t="s">
        <v>703</v>
      </c>
      <c r="D36" s="1157" t="s">
        <v>1885</v>
      </c>
      <c r="E36" s="1158" t="s">
        <v>53</v>
      </c>
    </row>
    <row r="37" spans="1:5" ht="24" x14ac:dyDescent="0.2">
      <c r="A37" s="1159">
        <v>31</v>
      </c>
      <c r="B37" s="1160" t="str">
        <f t="shared" si="0"/>
        <v>Part d'énergie fossile d'appoint pour l'ECS</v>
      </c>
      <c r="C37" s="1161" t="s">
        <v>879</v>
      </c>
      <c r="D37" s="1157" t="s">
        <v>1887</v>
      </c>
      <c r="E37" s="1158" t="s">
        <v>54</v>
      </c>
    </row>
    <row r="38" spans="1:5" ht="36" x14ac:dyDescent="0.2">
      <c r="A38" s="1159">
        <v>32</v>
      </c>
      <c r="B38" s="1160" t="str">
        <f t="shared" si="0"/>
        <v>Pertes en mode chauffage (démarrage, accumulateur, etc.)</v>
      </c>
      <c r="C38" s="1161" t="s">
        <v>3934</v>
      </c>
      <c r="D38" s="1157" t="s">
        <v>593</v>
      </c>
      <c r="E38" s="1158" t="s">
        <v>1665</v>
      </c>
    </row>
    <row r="39" spans="1:5" ht="48" x14ac:dyDescent="0.2">
      <c r="A39" s="1159">
        <v>33</v>
      </c>
      <c r="B39" s="1160" t="str">
        <f t="shared" ref="B39:B70" si="1">IF(F39&lt;&gt;"",F39,INDEX($C$7:$F$713,A39,$C$2))</f>
        <v>Pertes en mode préparation d'ECS (démarrage, accumulateur, etc.)</v>
      </c>
      <c r="C39" s="1161" t="s">
        <v>3936</v>
      </c>
      <c r="D39" s="1157" t="s">
        <v>1889</v>
      </c>
      <c r="E39" s="1158" t="s">
        <v>1666</v>
      </c>
    </row>
    <row r="40" spans="1:5" ht="24" x14ac:dyDescent="0.2">
      <c r="A40" s="1159">
        <v>34</v>
      </c>
      <c r="B40" s="1160" t="str">
        <f t="shared" si="1"/>
        <v>Durée de fonctionnement de la pompe à chaleur</v>
      </c>
      <c r="C40" s="1161" t="s">
        <v>3939</v>
      </c>
      <c r="D40" s="1157" t="s">
        <v>594</v>
      </c>
      <c r="E40" s="1158" t="s">
        <v>1699</v>
      </c>
    </row>
    <row r="41" spans="1:5" ht="23.45" customHeight="1" x14ac:dyDescent="0.2">
      <c r="A41" s="1159">
        <v>35</v>
      </c>
      <c r="B41" s="1160" t="str">
        <f t="shared" si="1"/>
        <v>Part et COP annuel de la pompe à chaleur pour le chauffage</v>
      </c>
      <c r="C41" s="1161" t="s">
        <v>3943</v>
      </c>
      <c r="D41" s="1157" t="s">
        <v>595</v>
      </c>
      <c r="E41" s="1158" t="s">
        <v>760</v>
      </c>
    </row>
    <row r="42" spans="1:5" ht="36" x14ac:dyDescent="0.2">
      <c r="A42" s="1159">
        <v>36</v>
      </c>
      <c r="B42" s="1160" t="str">
        <f t="shared" si="1"/>
        <v>Part et COP annuel de la pompe à chaleur pour l'ECS</v>
      </c>
      <c r="C42" s="1161" t="s">
        <v>3947</v>
      </c>
      <c r="D42" s="1157" t="s">
        <v>1890</v>
      </c>
      <c r="E42" s="1158" t="s">
        <v>761</v>
      </c>
    </row>
    <row r="43" spans="1:5" ht="24" x14ac:dyDescent="0.2">
      <c r="A43" s="1159">
        <v>37</v>
      </c>
      <c r="B43" s="1160" t="str">
        <f t="shared" si="1"/>
        <v xml:space="preserve">Facteur de pondération pour le chauffage: </v>
      </c>
      <c r="C43" s="1161" t="s">
        <v>596</v>
      </c>
      <c r="D43" s="1157" t="s">
        <v>2702</v>
      </c>
      <c r="E43" s="1158" t="s">
        <v>762</v>
      </c>
    </row>
    <row r="44" spans="1:5" ht="24" x14ac:dyDescent="0.2">
      <c r="A44" s="1159">
        <v>38</v>
      </c>
      <c r="B44" s="1160" t="str">
        <f t="shared" si="1"/>
        <v>Facteur de pondération pour l'ECS</v>
      </c>
      <c r="C44" s="1161" t="s">
        <v>597</v>
      </c>
      <c r="D44" s="1157" t="s">
        <v>1891</v>
      </c>
      <c r="E44" s="1158" t="s">
        <v>763</v>
      </c>
    </row>
    <row r="45" spans="1:5" ht="24" x14ac:dyDescent="0.2">
      <c r="A45" s="1159">
        <v>39</v>
      </c>
      <c r="B45" s="1160" t="str">
        <f t="shared" si="1"/>
        <v>COP annuel pour chauffage et ECS (COPa [ch+ECS])</v>
      </c>
      <c r="C45" s="1161" t="s">
        <v>598</v>
      </c>
      <c r="D45" s="1157" t="s">
        <v>3403</v>
      </c>
      <c r="E45" s="1158" t="s">
        <v>764</v>
      </c>
    </row>
    <row r="46" spans="1:5" ht="36" x14ac:dyDescent="0.2">
      <c r="A46" s="1159">
        <v>40</v>
      </c>
      <c r="B46" s="1160" t="str">
        <f t="shared" si="1"/>
        <v>Elévation de température dans la PAC en conditions de test selon la norme</v>
      </c>
      <c r="C46" s="1161" t="s">
        <v>599</v>
      </c>
      <c r="D46" s="1157" t="s">
        <v>1892</v>
      </c>
      <c r="E46" s="1158" t="s">
        <v>3903</v>
      </c>
    </row>
    <row r="47" spans="1:5" ht="24" x14ac:dyDescent="0.2">
      <c r="A47" s="1159">
        <v>41</v>
      </c>
      <c r="B47" s="1160" t="str">
        <f t="shared" si="1"/>
        <v>Température de départ du chauffage:</v>
      </c>
      <c r="C47" s="1161" t="s">
        <v>600</v>
      </c>
      <c r="D47" s="1157" t="s">
        <v>601</v>
      </c>
      <c r="E47" s="1158" t="s">
        <v>765</v>
      </c>
    </row>
    <row r="48" spans="1:5" ht="24" x14ac:dyDescent="0.2">
      <c r="A48" s="1159">
        <v>42</v>
      </c>
      <c r="B48" s="1160" t="str">
        <f t="shared" si="1"/>
        <v>Température de retour du chauffage:</v>
      </c>
      <c r="C48" s="1161" t="s">
        <v>1596</v>
      </c>
      <c r="D48" s="1157" t="s">
        <v>1597</v>
      </c>
      <c r="E48" s="1158" t="s">
        <v>766</v>
      </c>
    </row>
    <row r="49" spans="1:5" ht="36" x14ac:dyDescent="0.2">
      <c r="A49" s="1159">
        <v>43</v>
      </c>
      <c r="B49" s="1160" t="str">
        <f t="shared" si="1"/>
        <v>Différence de température accu - départ chauffage</v>
      </c>
      <c r="C49" s="1161" t="s">
        <v>1875</v>
      </c>
      <c r="D49" s="1157" t="s">
        <v>1893</v>
      </c>
      <c r="E49" s="1158" t="s">
        <v>767</v>
      </c>
    </row>
    <row r="50" spans="1:5" ht="48" x14ac:dyDescent="0.2">
      <c r="A50" s="1159">
        <v>44</v>
      </c>
      <c r="B50" s="1160" t="str">
        <f t="shared" si="1"/>
        <v>Température de commutation pour fonctionnement bivalent alternatif</v>
      </c>
      <c r="C50" s="1161" t="s">
        <v>1876</v>
      </c>
      <c r="D50" s="1157" t="s">
        <v>3164</v>
      </c>
      <c r="E50" s="1158" t="s">
        <v>1460</v>
      </c>
    </row>
    <row r="51" spans="1:5" ht="24" x14ac:dyDescent="0.2">
      <c r="A51" s="1159">
        <v>45</v>
      </c>
      <c r="B51" s="1160" t="str">
        <f t="shared" si="1"/>
        <v>Type d'appoint électrique pour ECS :</v>
      </c>
      <c r="C51" s="1161" t="s">
        <v>2107</v>
      </c>
      <c r="D51" s="1157" t="s">
        <v>2106</v>
      </c>
      <c r="E51" s="1158" t="s">
        <v>768</v>
      </c>
    </row>
    <row r="52" spans="1:5" ht="36" x14ac:dyDescent="0.2">
      <c r="A52" s="1159">
        <v>46</v>
      </c>
      <c r="B52" s="1160" t="str">
        <f t="shared" si="1"/>
        <v>Température ECS garantie sans appoint électrique :</v>
      </c>
      <c r="C52" s="1161" t="s">
        <v>2108</v>
      </c>
      <c r="D52" s="1157" t="s">
        <v>3624</v>
      </c>
      <c r="E52" s="1158" t="s">
        <v>769</v>
      </c>
    </row>
    <row r="53" spans="1:5" ht="24" x14ac:dyDescent="0.2">
      <c r="A53" s="1159">
        <v>47</v>
      </c>
      <c r="B53" s="1160" t="str">
        <f t="shared" si="1"/>
        <v>Température ECS avec postchauffage électrique:</v>
      </c>
      <c r="C53" s="1161" t="s">
        <v>2109</v>
      </c>
      <c r="D53" s="1157" t="s">
        <v>2703</v>
      </c>
      <c r="E53" s="1158" t="s">
        <v>1391</v>
      </c>
    </row>
    <row r="54" spans="1:5" ht="24" x14ac:dyDescent="0.2">
      <c r="A54" s="1159">
        <v>48</v>
      </c>
      <c r="B54" s="1160" t="str">
        <f t="shared" si="1"/>
        <v>Capacité de l'accumulateur d'ECS</v>
      </c>
      <c r="C54" s="1161" t="s">
        <v>2110</v>
      </c>
      <c r="D54" s="1157" t="s">
        <v>1894</v>
      </c>
      <c r="E54" s="1158" t="s">
        <v>1392</v>
      </c>
    </row>
    <row r="55" spans="1:5" x14ac:dyDescent="0.2">
      <c r="A55" s="1159">
        <v>49</v>
      </c>
      <c r="B55" s="1160" t="str">
        <f t="shared" si="1"/>
        <v>Surface des absorbeurs</v>
      </c>
      <c r="C55" s="1161" t="s">
        <v>928</v>
      </c>
      <c r="D55" s="1157" t="s">
        <v>1895</v>
      </c>
      <c r="E55" s="1158" t="s">
        <v>1461</v>
      </c>
    </row>
    <row r="56" spans="1:5" ht="24" x14ac:dyDescent="0.2">
      <c r="A56" s="1159">
        <v>50</v>
      </c>
      <c r="B56" s="1160" t="str">
        <f t="shared" si="1"/>
        <v>orientation / inclinaison des collecteurs</v>
      </c>
      <c r="C56" s="1161" t="s">
        <v>1211</v>
      </c>
      <c r="D56" s="1157" t="s">
        <v>2549</v>
      </c>
      <c r="E56" s="1158" t="s">
        <v>1462</v>
      </c>
    </row>
    <row r="57" spans="1:5" ht="24" x14ac:dyDescent="0.2">
      <c r="A57" s="1159">
        <v>51</v>
      </c>
      <c r="B57" s="1160" t="str">
        <f t="shared" si="1"/>
        <v>Apport net par m2 d'absorbeur</v>
      </c>
      <c r="C57" s="1161" t="s">
        <v>931</v>
      </c>
      <c r="D57" s="1157" t="s">
        <v>3673</v>
      </c>
      <c r="E57" s="1158" t="s">
        <v>1463</v>
      </c>
    </row>
    <row r="58" spans="1:5" ht="24" x14ac:dyDescent="0.2">
      <c r="A58" s="1159">
        <v>52</v>
      </c>
      <c r="B58" s="1160" t="str">
        <f t="shared" si="1"/>
        <v>Altitude par rapport au niveau de la mer</v>
      </c>
      <c r="C58" s="1161" t="s">
        <v>932</v>
      </c>
      <c r="D58" s="1157" t="s">
        <v>2436</v>
      </c>
      <c r="E58" s="1158" t="s">
        <v>1393</v>
      </c>
    </row>
    <row r="59" spans="1:5" ht="24" x14ac:dyDescent="0.2">
      <c r="A59" s="1159">
        <v>53</v>
      </c>
      <c r="B59" s="1160" t="str">
        <f t="shared" si="1"/>
        <v>Taux de couverture solaire pour l'ECS</v>
      </c>
      <c r="C59" s="1161" t="s">
        <v>120</v>
      </c>
      <c r="D59" s="1157" t="s">
        <v>1896</v>
      </c>
      <c r="E59" s="1158" t="s">
        <v>1394</v>
      </c>
    </row>
    <row r="60" spans="1:5" ht="24" x14ac:dyDescent="0.2">
      <c r="A60" s="1159">
        <v>54</v>
      </c>
      <c r="B60" s="1160" t="str">
        <f t="shared" si="1"/>
        <v>Taux de couverture solaire pour le chauffage</v>
      </c>
      <c r="C60" s="1161" t="s">
        <v>3669</v>
      </c>
      <c r="D60" s="1157" t="s">
        <v>1897</v>
      </c>
      <c r="E60" s="1158" t="s">
        <v>1686</v>
      </c>
    </row>
    <row r="61" spans="1:5" x14ac:dyDescent="0.2">
      <c r="A61" s="1159">
        <v>55</v>
      </c>
      <c r="B61" s="1160" t="str">
        <f t="shared" si="1"/>
        <v>Pompe à chaleur air/eau</v>
      </c>
      <c r="C61" s="1161" t="s">
        <v>1592</v>
      </c>
      <c r="D61" s="1157" t="s">
        <v>1877</v>
      </c>
      <c r="E61" s="1158" t="s">
        <v>1687</v>
      </c>
    </row>
    <row r="62" spans="1:5" ht="24" x14ac:dyDescent="0.2">
      <c r="A62" s="1159">
        <v>56</v>
      </c>
      <c r="B62" s="1160" t="str">
        <f t="shared" si="1"/>
        <v>Pompe à chaleur sol/eau</v>
      </c>
      <c r="C62" s="1161" t="s">
        <v>720</v>
      </c>
      <c r="D62" s="1157" t="s">
        <v>1878</v>
      </c>
      <c r="E62" s="1158" t="s">
        <v>1062</v>
      </c>
    </row>
    <row r="63" spans="1:5" ht="29.45" customHeight="1" x14ac:dyDescent="0.2">
      <c r="A63" s="1159">
        <v>57</v>
      </c>
      <c r="B63" s="1160" t="str">
        <f t="shared" si="1"/>
        <v>Pompe à chaleur eau/eau</v>
      </c>
      <c r="C63" s="1161" t="s">
        <v>726</v>
      </c>
      <c r="D63" s="1157" t="s">
        <v>2713</v>
      </c>
      <c r="E63" s="1158" t="s">
        <v>1688</v>
      </c>
    </row>
    <row r="64" spans="1:5" x14ac:dyDescent="0.2">
      <c r="A64" s="1159">
        <v>58</v>
      </c>
      <c r="B64" s="1160" t="str">
        <f t="shared" si="1"/>
        <v>PAC avec collecteur terrestre</v>
      </c>
      <c r="C64" s="1161" t="s">
        <v>1222</v>
      </c>
      <c r="D64" s="1157" t="s">
        <v>1191</v>
      </c>
      <c r="E64" s="1158" t="s">
        <v>1689</v>
      </c>
    </row>
    <row r="65" spans="1:5" ht="36" x14ac:dyDescent="0.2">
      <c r="A65" s="1159">
        <v>59</v>
      </c>
      <c r="B65" s="1160" t="str">
        <f t="shared" si="1"/>
        <v>COP aux conditions normalisées 7 °C / 50°C (A7 / W50):</v>
      </c>
      <c r="C65" s="1161" t="s">
        <v>2714</v>
      </c>
      <c r="D65" s="1157" t="s">
        <v>1192</v>
      </c>
      <c r="E65" s="1158" t="s">
        <v>1690</v>
      </c>
    </row>
    <row r="66" spans="1:5" ht="36" x14ac:dyDescent="0.2">
      <c r="A66" s="1159">
        <v>60</v>
      </c>
      <c r="B66" s="1160" t="str">
        <f t="shared" si="1"/>
        <v>COP aux conditions normalisées 7 °C / 50°C (A7 / W50):</v>
      </c>
      <c r="C66" s="1161" t="s">
        <v>2714</v>
      </c>
      <c r="D66" s="1157" t="s">
        <v>1192</v>
      </c>
      <c r="E66" s="1158" t="s">
        <v>1690</v>
      </c>
    </row>
    <row r="67" spans="1:5" ht="36" x14ac:dyDescent="0.2">
      <c r="A67" s="1159">
        <v>61</v>
      </c>
      <c r="B67" s="1160" t="str">
        <f t="shared" si="1"/>
        <v>Puissance électrique soutirée par pompe de sonde:</v>
      </c>
      <c r="C67" s="1161" t="s">
        <v>723</v>
      </c>
      <c r="D67" s="1157" t="s">
        <v>1898</v>
      </c>
      <c r="E67" s="1158" t="s">
        <v>1691</v>
      </c>
    </row>
    <row r="68" spans="1:5" ht="24" x14ac:dyDescent="0.2">
      <c r="A68" s="1159">
        <v>62</v>
      </c>
      <c r="B68" s="1160" t="str">
        <f t="shared" si="1"/>
        <v>COP aux conditions normalisées (W10 / W50):</v>
      </c>
      <c r="C68" s="1161" t="s">
        <v>2715</v>
      </c>
      <c r="D68" s="1157" t="s">
        <v>1193</v>
      </c>
      <c r="E68" s="1158" t="s">
        <v>1692</v>
      </c>
    </row>
    <row r="69" spans="1:5" ht="24" x14ac:dyDescent="0.2">
      <c r="A69" s="1159">
        <v>63</v>
      </c>
      <c r="B69" s="1160" t="str">
        <f t="shared" si="1"/>
        <v>Température de la source (entrée PAC)</v>
      </c>
      <c r="C69" s="1161" t="s">
        <v>3341</v>
      </c>
      <c r="D69" s="1157" t="s">
        <v>3342</v>
      </c>
      <c r="E69" s="1158" t="s">
        <v>3343</v>
      </c>
    </row>
    <row r="70" spans="1:5" ht="37.15" customHeight="1" x14ac:dyDescent="0.2">
      <c r="A70" s="1159">
        <v>64</v>
      </c>
      <c r="B70" s="1160" t="str">
        <f t="shared" si="1"/>
        <v>Puissance électrique soutirée par pompe saumure:</v>
      </c>
      <c r="C70" s="1161" t="s">
        <v>1219</v>
      </c>
      <c r="D70" s="1157" t="s">
        <v>685</v>
      </c>
      <c r="E70" s="1158" t="s">
        <v>1693</v>
      </c>
    </row>
    <row r="71" spans="1:5" ht="36" x14ac:dyDescent="0.2">
      <c r="A71" s="1159">
        <v>65</v>
      </c>
      <c r="B71" s="1160" t="str">
        <f t="shared" ref="B71:B84" si="2">IF(F71&lt;&gt;"",F71,INDEX($C$7:$F$713,A71,$C$2))</f>
        <v>COP aux conditions normalisées -7 °C / 35°C (A-7 / W35):</v>
      </c>
      <c r="C71" s="1161" t="s">
        <v>2111</v>
      </c>
      <c r="D71" s="1157" t="s">
        <v>2229</v>
      </c>
      <c r="E71" s="1158" t="s">
        <v>1694</v>
      </c>
    </row>
    <row r="72" spans="1:5" x14ac:dyDescent="0.2">
      <c r="A72" s="1159">
        <v>66</v>
      </c>
      <c r="B72" s="1160" t="str">
        <f t="shared" si="2"/>
        <v xml:space="preserve">Nombre: </v>
      </c>
      <c r="C72" s="1161" t="s">
        <v>1502</v>
      </c>
      <c r="D72" s="1157" t="s">
        <v>1503</v>
      </c>
      <c r="E72" s="1158" t="s">
        <v>1504</v>
      </c>
    </row>
    <row r="73" spans="1:5" ht="24" x14ac:dyDescent="0.2">
      <c r="A73" s="1159">
        <v>67</v>
      </c>
      <c r="B73" s="1160" t="str">
        <f t="shared" si="2"/>
        <v>COP aux conditions normalisées (W10 / W35):</v>
      </c>
      <c r="C73" s="1161" t="s">
        <v>2112</v>
      </c>
      <c r="D73" s="1157" t="s">
        <v>2230</v>
      </c>
      <c r="E73" s="1158" t="s">
        <v>1695</v>
      </c>
    </row>
    <row r="74" spans="1:5" x14ac:dyDescent="0.2">
      <c r="A74" s="1159">
        <v>68</v>
      </c>
      <c r="B74" s="1160" t="str">
        <f t="shared" si="2"/>
        <v>Surface de collecteurs</v>
      </c>
      <c r="C74" s="1161" t="s">
        <v>1223</v>
      </c>
      <c r="D74" s="1157" t="s">
        <v>1335</v>
      </c>
      <c r="E74" s="1158" t="s">
        <v>1063</v>
      </c>
    </row>
    <row r="75" spans="1:5" x14ac:dyDescent="0.2">
      <c r="A75" s="1159">
        <v>69</v>
      </c>
      <c r="B75" s="1160" t="str">
        <f t="shared" si="2"/>
        <v>choisir -&gt;</v>
      </c>
      <c r="C75" s="1161" t="s">
        <v>1492</v>
      </c>
      <c r="D75" s="1157" t="s">
        <v>1239</v>
      </c>
      <c r="E75" s="1158" t="s">
        <v>521</v>
      </c>
    </row>
    <row r="76" spans="1:5" ht="36" x14ac:dyDescent="0.2">
      <c r="A76" s="1159">
        <v>70</v>
      </c>
      <c r="B76" s="1160" t="str">
        <f t="shared" si="2"/>
        <v>Puissance calorifique aux conditions normalisées -7 °C  (A-7 / W35):</v>
      </c>
      <c r="C76" s="1161" t="s">
        <v>288</v>
      </c>
      <c r="D76" s="1157" t="s">
        <v>1336</v>
      </c>
      <c r="E76" s="1158" t="s">
        <v>522</v>
      </c>
    </row>
    <row r="77" spans="1:5" x14ac:dyDescent="0.2">
      <c r="A77" s="1159">
        <v>71</v>
      </c>
      <c r="B77" s="1160" t="str">
        <f t="shared" si="2"/>
        <v xml:space="preserve">Longueur: </v>
      </c>
      <c r="C77" s="1161" t="s">
        <v>2543</v>
      </c>
      <c r="D77" s="1157" t="s">
        <v>1505</v>
      </c>
      <c r="E77" s="1158" t="s">
        <v>1506</v>
      </c>
    </row>
    <row r="78" spans="1:5" ht="24" x14ac:dyDescent="0.2">
      <c r="A78" s="1159">
        <v>72</v>
      </c>
      <c r="B78" s="1160" t="str">
        <f t="shared" si="2"/>
        <v>Puissance thermique à (W10 / W35):</v>
      </c>
      <c r="C78" s="1161" t="s">
        <v>289</v>
      </c>
      <c r="D78" s="1157" t="s">
        <v>2550</v>
      </c>
      <c r="E78" s="1158" t="s">
        <v>523</v>
      </c>
    </row>
    <row r="79" spans="1:5" x14ac:dyDescent="0.2">
      <c r="A79" s="1159">
        <v>73</v>
      </c>
      <c r="B79" s="1160" t="str">
        <f t="shared" si="2"/>
        <v>Sondes géothermiques:</v>
      </c>
      <c r="C79" s="1161" t="s">
        <v>1500</v>
      </c>
      <c r="D79" s="1157" t="s">
        <v>1499</v>
      </c>
      <c r="E79" s="1158" t="s">
        <v>1501</v>
      </c>
    </row>
    <row r="80" spans="1:5" ht="24" x14ac:dyDescent="0.2">
      <c r="A80" s="1159">
        <v>74</v>
      </c>
      <c r="B80" s="1160" t="str">
        <f t="shared" si="2"/>
        <v>Puissance spécifique soutirée</v>
      </c>
      <c r="C80" s="1161" t="s">
        <v>1220</v>
      </c>
      <c r="D80" s="1157" t="s">
        <v>3401</v>
      </c>
      <c r="E80" s="1158" t="s">
        <v>1575</v>
      </c>
    </row>
    <row r="81" spans="1:5" ht="36" x14ac:dyDescent="0.2">
      <c r="A81" s="1159">
        <v>75</v>
      </c>
      <c r="B81" s="1160" t="str">
        <f t="shared" si="2"/>
        <v>COP aux conditions normalisées +2 °C  (A2 / W35):</v>
      </c>
      <c r="C81" s="1161" t="s">
        <v>290</v>
      </c>
      <c r="D81" s="1157" t="s">
        <v>1337</v>
      </c>
      <c r="E81" s="1158" t="s">
        <v>519</v>
      </c>
    </row>
    <row r="82" spans="1:5" ht="53.45" customHeight="1" x14ac:dyDescent="0.2">
      <c r="A82" s="1159">
        <v>76</v>
      </c>
      <c r="B82" s="1160" t="str">
        <f t="shared" si="2"/>
        <v>Température de dimensionnement des sondes (optionnel, calcul externe)</v>
      </c>
      <c r="C82" s="1161" t="s">
        <v>2343</v>
      </c>
      <c r="D82" s="1157" t="s">
        <v>3399</v>
      </c>
      <c r="E82" s="1158" t="s">
        <v>592</v>
      </c>
    </row>
    <row r="83" spans="1:5" ht="33" customHeight="1" x14ac:dyDescent="0.2">
      <c r="A83" s="1159">
        <v>77</v>
      </c>
      <c r="B83" s="1160" t="str">
        <f t="shared" si="2"/>
        <v xml:space="preserve">Température source de chaleur (si pas 10°C) </v>
      </c>
      <c r="C83" s="1161" t="s">
        <v>727</v>
      </c>
      <c r="D83" s="1157" t="s">
        <v>291</v>
      </c>
      <c r="E83" s="1158" t="s">
        <v>520</v>
      </c>
    </row>
    <row r="84" spans="1:5" ht="48" x14ac:dyDescent="0.2">
      <c r="A84" s="1159">
        <v>78</v>
      </c>
      <c r="B84" s="1160" t="str">
        <f t="shared" si="2"/>
        <v>Température de dimensionnement des sondes (optionnel, calcul externe)</v>
      </c>
      <c r="C84" s="1161" t="s">
        <v>2343</v>
      </c>
      <c r="D84" s="1157" t="s">
        <v>3399</v>
      </c>
      <c r="E84" s="1158" t="s">
        <v>592</v>
      </c>
    </row>
    <row r="85" spans="1:5" x14ac:dyDescent="0.2">
      <c r="A85" s="1159">
        <v>79</v>
      </c>
      <c r="B85" s="1160"/>
      <c r="C85" s="1161"/>
      <c r="D85" s="1157"/>
      <c r="E85" s="1158"/>
    </row>
    <row r="86" spans="1:5" ht="36" x14ac:dyDescent="0.2">
      <c r="A86" s="1159">
        <v>80</v>
      </c>
      <c r="B86" s="1160" t="str">
        <f t="shared" ref="B86:B117" si="3">IF(F86&lt;&gt;"",F86,INDEX($C$7:$F$713,A86,$C$2))</f>
        <v>Puissance calorifique aux conditions normalisées +2 °C  (A2 / W35):</v>
      </c>
      <c r="C86" s="1161" t="s">
        <v>292</v>
      </c>
      <c r="D86" s="1157" t="s">
        <v>1338</v>
      </c>
      <c r="E86" s="1158" t="s">
        <v>524</v>
      </c>
    </row>
    <row r="87" spans="1:5" ht="24" x14ac:dyDescent="0.2">
      <c r="A87" s="1159">
        <v>81</v>
      </c>
      <c r="B87" s="1160" t="str">
        <f t="shared" si="3"/>
        <v>COP aux conditions normalisées (B0 / W50)</v>
      </c>
      <c r="C87" s="1161" t="s">
        <v>293</v>
      </c>
      <c r="D87" s="1157" t="s">
        <v>1339</v>
      </c>
      <c r="E87" s="1158" t="s">
        <v>2927</v>
      </c>
    </row>
    <row r="88" spans="1:5" ht="39.6" customHeight="1" x14ac:dyDescent="0.2">
      <c r="A88" s="1159">
        <v>82</v>
      </c>
      <c r="B88" s="1160" t="str">
        <f t="shared" si="3"/>
        <v>Puissance électrique soutirée par pompe de circulation:</v>
      </c>
      <c r="C88" s="1161" t="s">
        <v>729</v>
      </c>
      <c r="D88" s="1157" t="s">
        <v>686</v>
      </c>
      <c r="E88" s="1158" t="s">
        <v>785</v>
      </c>
    </row>
    <row r="89" spans="1:5" ht="24" x14ac:dyDescent="0.2">
      <c r="A89" s="1159">
        <v>83</v>
      </c>
      <c r="B89" s="1160" t="str">
        <f t="shared" si="3"/>
        <v>COP aux conditions normalisées (B0 / W50)</v>
      </c>
      <c r="C89" s="1161" t="s">
        <v>293</v>
      </c>
      <c r="D89" s="1157" t="s">
        <v>1339</v>
      </c>
      <c r="E89" s="1158" t="s">
        <v>2927</v>
      </c>
    </row>
    <row r="90" spans="1:5" ht="36" x14ac:dyDescent="0.2">
      <c r="A90" s="1159">
        <v>84</v>
      </c>
      <c r="B90" s="1160" t="str">
        <f t="shared" si="3"/>
        <v>COP aux conditions normalisées +7 °C  (A7 / W35):</v>
      </c>
      <c r="C90" s="1161" t="s">
        <v>295</v>
      </c>
      <c r="D90" s="1157" t="s">
        <v>1340</v>
      </c>
      <c r="E90" s="1158" t="s">
        <v>2928</v>
      </c>
    </row>
    <row r="91" spans="1:5" ht="24" x14ac:dyDescent="0.2">
      <c r="A91" s="1159">
        <v>85</v>
      </c>
      <c r="B91" s="1160" t="str">
        <f t="shared" si="3"/>
        <v>Coefficient de performance COP (B0 / W35)</v>
      </c>
      <c r="C91" s="1161" t="s">
        <v>296</v>
      </c>
      <c r="D91" s="1157" t="s">
        <v>294</v>
      </c>
      <c r="E91" s="1158" t="s">
        <v>2929</v>
      </c>
    </row>
    <row r="92" spans="1:5" ht="36" x14ac:dyDescent="0.2">
      <c r="A92" s="1159">
        <v>86</v>
      </c>
      <c r="B92" s="1160" t="str">
        <f t="shared" si="3"/>
        <v>Type de pompe (données nécessaires si puissance &lt; valeur proposée)</v>
      </c>
      <c r="C92" s="1161" t="s">
        <v>730</v>
      </c>
      <c r="D92" s="1157" t="s">
        <v>1900</v>
      </c>
      <c r="E92" s="1158" t="s">
        <v>2930</v>
      </c>
    </row>
    <row r="93" spans="1:5" ht="24" x14ac:dyDescent="0.2">
      <c r="A93" s="1159">
        <v>87</v>
      </c>
      <c r="B93" s="1160" t="str">
        <f t="shared" si="3"/>
        <v>Coefficient de performance COP (B0 / W35)</v>
      </c>
      <c r="C93" s="1161" t="s">
        <v>296</v>
      </c>
      <c r="D93" s="1157" t="s">
        <v>294</v>
      </c>
      <c r="E93" s="1158" t="s">
        <v>2929</v>
      </c>
    </row>
    <row r="94" spans="1:5" ht="36" x14ac:dyDescent="0.2">
      <c r="A94" s="1159">
        <v>88</v>
      </c>
      <c r="B94" s="1160" t="str">
        <f t="shared" si="3"/>
        <v>Puissance calorifique aux conditions normalisées +7 °C (A7 / W35):</v>
      </c>
      <c r="C94" s="1161" t="s">
        <v>298</v>
      </c>
      <c r="D94" s="1157" t="s">
        <v>923</v>
      </c>
      <c r="E94" s="1158" t="s">
        <v>2931</v>
      </c>
    </row>
    <row r="95" spans="1:5" ht="24" x14ac:dyDescent="0.2">
      <c r="A95" s="1159">
        <v>89</v>
      </c>
      <c r="B95" s="1160" t="str">
        <f t="shared" si="3"/>
        <v>Puissance calorifique pour (B0 / W35):</v>
      </c>
      <c r="C95" s="1161" t="s">
        <v>299</v>
      </c>
      <c r="D95" s="1157" t="s">
        <v>297</v>
      </c>
      <c r="E95" s="1158" t="s">
        <v>2932</v>
      </c>
    </row>
    <row r="96" spans="1:5" ht="24" x14ac:dyDescent="0.2">
      <c r="A96" s="1159">
        <v>90</v>
      </c>
      <c r="B96" s="1160" t="str">
        <f t="shared" si="3"/>
        <v>Capacité de l'accumulateur chauffage</v>
      </c>
      <c r="C96" s="1161" t="s">
        <v>300</v>
      </c>
      <c r="D96" s="1157" t="s">
        <v>1781</v>
      </c>
      <c r="E96" s="1158" t="s">
        <v>2933</v>
      </c>
    </row>
    <row r="97" spans="1:5" ht="24" x14ac:dyDescent="0.2">
      <c r="A97" s="1159">
        <v>91</v>
      </c>
      <c r="B97" s="1160" t="str">
        <f t="shared" si="3"/>
        <v>Puissance calorifique pour (B0 / W35):</v>
      </c>
      <c r="C97" s="1161" t="s">
        <v>299</v>
      </c>
      <c r="D97" s="1157" t="s">
        <v>297</v>
      </c>
      <c r="E97" s="1158" t="s">
        <v>2932</v>
      </c>
    </row>
    <row r="98" spans="1:5" ht="24" x14ac:dyDescent="0.2">
      <c r="A98" s="1159">
        <v>92</v>
      </c>
      <c r="B98" s="1160" t="str">
        <f t="shared" si="3"/>
        <v>Capacité de l'accumulateur chauffage</v>
      </c>
      <c r="C98" s="1161" t="s">
        <v>300</v>
      </c>
      <c r="D98" s="1157" t="s">
        <v>1781</v>
      </c>
      <c r="E98" s="1158" t="s">
        <v>2933</v>
      </c>
    </row>
    <row r="99" spans="1:5" x14ac:dyDescent="0.2">
      <c r="A99" s="1159">
        <v>93</v>
      </c>
      <c r="B99" s="1160" t="str">
        <f t="shared" si="3"/>
        <v>Litres</v>
      </c>
      <c r="C99" s="1161" t="s">
        <v>301</v>
      </c>
      <c r="D99" s="1157" t="s">
        <v>302</v>
      </c>
      <c r="E99" s="1158" t="s">
        <v>2934</v>
      </c>
    </row>
    <row r="100" spans="1:5" x14ac:dyDescent="0.2">
      <c r="A100" s="1159">
        <v>94</v>
      </c>
      <c r="B100" s="1160" t="str">
        <f t="shared" si="3"/>
        <v>Habitat collectif</v>
      </c>
      <c r="C100" s="1161" t="s">
        <v>719</v>
      </c>
      <c r="D100" s="1157" t="s">
        <v>304</v>
      </c>
      <c r="E100" s="1158" t="s">
        <v>2935</v>
      </c>
    </row>
    <row r="101" spans="1:5" x14ac:dyDescent="0.2">
      <c r="A101" s="1159">
        <v>95</v>
      </c>
      <c r="B101" s="1160" t="str">
        <f t="shared" si="3"/>
        <v>Habitat individuel</v>
      </c>
      <c r="C101" s="1161" t="s">
        <v>725</v>
      </c>
      <c r="D101" s="1157" t="s">
        <v>305</v>
      </c>
      <c r="E101" s="1158" t="s">
        <v>2936</v>
      </c>
    </row>
    <row r="102" spans="1:5" x14ac:dyDescent="0.2">
      <c r="A102" s="1159">
        <v>96</v>
      </c>
      <c r="B102" s="1160" t="str">
        <f t="shared" si="3"/>
        <v>Administration</v>
      </c>
      <c r="C102" s="1161" t="s">
        <v>732</v>
      </c>
      <c r="D102" s="1157" t="s">
        <v>306</v>
      </c>
      <c r="E102" s="1158" t="s">
        <v>2937</v>
      </c>
    </row>
    <row r="103" spans="1:5" x14ac:dyDescent="0.2">
      <c r="A103" s="1159">
        <v>97</v>
      </c>
      <c r="B103" s="1160" t="str">
        <f t="shared" si="3"/>
        <v>Ecole</v>
      </c>
      <c r="C103" s="1161" t="s">
        <v>734</v>
      </c>
      <c r="D103" s="1157" t="s">
        <v>307</v>
      </c>
      <c r="E103" s="1158" t="s">
        <v>2938</v>
      </c>
    </row>
    <row r="104" spans="1:5" x14ac:dyDescent="0.2">
      <c r="A104" s="1159">
        <v>98</v>
      </c>
      <c r="B104" s="1160" t="str">
        <f t="shared" si="3"/>
        <v>Commerce</v>
      </c>
      <c r="C104" s="1161" t="s">
        <v>736</v>
      </c>
      <c r="D104" s="1157" t="s">
        <v>1785</v>
      </c>
      <c r="E104" s="1158" t="s">
        <v>2939</v>
      </c>
    </row>
    <row r="105" spans="1:5" x14ac:dyDescent="0.2">
      <c r="A105" s="1159">
        <v>99</v>
      </c>
      <c r="B105" s="1160" t="str">
        <f t="shared" si="3"/>
        <v>Restauration</v>
      </c>
      <c r="C105" s="1161" t="s">
        <v>738</v>
      </c>
      <c r="D105" s="1157" t="s">
        <v>308</v>
      </c>
      <c r="E105" s="1158" t="s">
        <v>2940</v>
      </c>
    </row>
    <row r="106" spans="1:5" x14ac:dyDescent="0.2">
      <c r="A106" s="1159">
        <v>100</v>
      </c>
      <c r="B106" s="1160" t="str">
        <f t="shared" si="3"/>
        <v>Lieu de rassemblement</v>
      </c>
      <c r="C106" s="1161" t="s">
        <v>739</v>
      </c>
      <c r="D106" s="1157" t="s">
        <v>1784</v>
      </c>
      <c r="E106" s="1158" t="s">
        <v>2941</v>
      </c>
    </row>
    <row r="107" spans="1:5" x14ac:dyDescent="0.2">
      <c r="A107" s="1159">
        <v>101</v>
      </c>
      <c r="B107" s="1160" t="str">
        <f t="shared" si="3"/>
        <v>Hôpitaux</v>
      </c>
      <c r="C107" s="1161" t="s">
        <v>742</v>
      </c>
      <c r="D107" s="1157" t="s">
        <v>309</v>
      </c>
      <c r="E107" s="1158" t="s">
        <v>2942</v>
      </c>
    </row>
    <row r="108" spans="1:5" x14ac:dyDescent="0.2">
      <c r="A108" s="1159">
        <v>102</v>
      </c>
      <c r="B108" s="1160" t="str">
        <f t="shared" si="3"/>
        <v>Industrie</v>
      </c>
      <c r="C108" s="1161" t="s">
        <v>745</v>
      </c>
      <c r="D108" s="1157" t="s">
        <v>745</v>
      </c>
      <c r="E108" s="1158" t="s">
        <v>745</v>
      </c>
    </row>
    <row r="109" spans="1:5" x14ac:dyDescent="0.2">
      <c r="A109" s="1159">
        <v>103</v>
      </c>
      <c r="B109" s="1160" t="str">
        <f t="shared" si="3"/>
        <v>Dépôt</v>
      </c>
      <c r="C109" s="1161" t="s">
        <v>751</v>
      </c>
      <c r="D109" s="1157" t="s">
        <v>1783</v>
      </c>
      <c r="E109" s="1158" t="s">
        <v>2943</v>
      </c>
    </row>
    <row r="110" spans="1:5" x14ac:dyDescent="0.2">
      <c r="A110" s="1159">
        <v>104</v>
      </c>
      <c r="B110" s="1160" t="str">
        <f t="shared" si="3"/>
        <v>Installation sportive</v>
      </c>
      <c r="C110" s="1161" t="s">
        <v>3644</v>
      </c>
      <c r="D110" s="1157" t="s">
        <v>1782</v>
      </c>
      <c r="E110" s="1158" t="s">
        <v>2944</v>
      </c>
    </row>
    <row r="111" spans="1:5" x14ac:dyDescent="0.2">
      <c r="A111" s="1159">
        <v>105</v>
      </c>
      <c r="B111" s="1160" t="str">
        <f t="shared" si="3"/>
        <v>Piscine</v>
      </c>
      <c r="C111" s="1161" t="s">
        <v>3648</v>
      </c>
      <c r="D111" s="1157" t="s">
        <v>2945</v>
      </c>
      <c r="E111" s="1158" t="s">
        <v>2945</v>
      </c>
    </row>
    <row r="112" spans="1:5" x14ac:dyDescent="0.2">
      <c r="A112" s="1159">
        <v>106</v>
      </c>
      <c r="B112" s="1160" t="str">
        <f t="shared" si="3"/>
        <v>Chauffage</v>
      </c>
      <c r="C112" s="1161" t="s">
        <v>752</v>
      </c>
      <c r="D112" s="1157" t="s">
        <v>310</v>
      </c>
      <c r="E112" s="1158" t="s">
        <v>2946</v>
      </c>
    </row>
    <row r="113" spans="1:5" x14ac:dyDescent="0.2">
      <c r="A113" s="1159">
        <v>107</v>
      </c>
      <c r="B113" s="1160" t="str">
        <f t="shared" si="3"/>
        <v>ECS eau chaude sanitaire</v>
      </c>
      <c r="C113" s="1161" t="s">
        <v>3484</v>
      </c>
      <c r="D113" s="1157" t="s">
        <v>1786</v>
      </c>
      <c r="E113" s="1158" t="s">
        <v>786</v>
      </c>
    </row>
    <row r="114" spans="1:5" x14ac:dyDescent="0.2">
      <c r="A114" s="1159">
        <v>108</v>
      </c>
      <c r="B114" s="1160" t="str">
        <f t="shared" si="3"/>
        <v>Chauffage+ECS</v>
      </c>
      <c r="C114" s="1161" t="s">
        <v>3668</v>
      </c>
      <c r="D114" s="1157" t="s">
        <v>3680</v>
      </c>
      <c r="E114" s="1158" t="s">
        <v>787</v>
      </c>
    </row>
    <row r="115" spans="1:5" ht="24" x14ac:dyDescent="0.2">
      <c r="A115" s="1159">
        <v>109</v>
      </c>
      <c r="B115" s="1160" t="str">
        <f t="shared" si="3"/>
        <v>fonctionnement chauffage monovalent</v>
      </c>
      <c r="C115" s="1161" t="s">
        <v>1684</v>
      </c>
      <c r="D115" s="1157" t="s">
        <v>3681</v>
      </c>
      <c r="E115" s="1158" t="s">
        <v>942</v>
      </c>
    </row>
    <row r="116" spans="1:5" ht="24" x14ac:dyDescent="0.2">
      <c r="A116" s="1159">
        <v>110</v>
      </c>
      <c r="B116" s="1160" t="str">
        <f t="shared" si="3"/>
        <v xml:space="preserve">avec chauffage électrique de secours </v>
      </c>
      <c r="C116" s="1161" t="s">
        <v>783</v>
      </c>
      <c r="D116" s="1157" t="s">
        <v>784</v>
      </c>
      <c r="E116" s="1158" t="s">
        <v>3594</v>
      </c>
    </row>
    <row r="117" spans="1:5" ht="24" x14ac:dyDescent="0.2">
      <c r="A117" s="1159">
        <v>111</v>
      </c>
      <c r="B117" s="1160" t="str">
        <f t="shared" si="3"/>
        <v>Installation bivalente fossile</v>
      </c>
      <c r="C117" s="1161" t="s">
        <v>2658</v>
      </c>
      <c r="D117" s="1160" t="s">
        <v>191</v>
      </c>
      <c r="E117" s="1158" t="s">
        <v>192</v>
      </c>
    </row>
    <row r="118" spans="1:5" ht="13.15" customHeight="1" x14ac:dyDescent="0.2">
      <c r="A118" s="1159">
        <v>112</v>
      </c>
      <c r="B118" s="1160" t="str">
        <f t="shared" ref="B118:B149" si="4">IF(F118&lt;&gt;"",F118,INDEX($C$7:$F$713,A118,$C$2))</f>
        <v>avec accumulateur chauffage</v>
      </c>
      <c r="C118" s="1161" t="s">
        <v>1584</v>
      </c>
      <c r="D118" s="1157" t="s">
        <v>1586</v>
      </c>
      <c r="E118" s="1158" t="s">
        <v>880</v>
      </c>
    </row>
    <row r="119" spans="1:5" ht="24" x14ac:dyDescent="0.2">
      <c r="A119" s="1159">
        <v>113</v>
      </c>
      <c r="B119" s="1160" t="str">
        <f t="shared" si="4"/>
        <v>sans accumulateur chauffage</v>
      </c>
      <c r="C119" s="1161" t="s">
        <v>1585</v>
      </c>
      <c r="D119" s="1157" t="s">
        <v>1587</v>
      </c>
      <c r="E119" s="1158" t="s">
        <v>3595</v>
      </c>
    </row>
    <row r="120" spans="1:5" ht="24" x14ac:dyDescent="0.2">
      <c r="A120" s="1159">
        <v>114</v>
      </c>
      <c r="B120" s="1160" t="str">
        <f t="shared" si="4"/>
        <v>Registre électrique instantané</v>
      </c>
      <c r="C120" s="1161" t="s">
        <v>1588</v>
      </c>
      <c r="D120" s="1157" t="s">
        <v>1787</v>
      </c>
      <c r="E120" s="1158" t="s">
        <v>881</v>
      </c>
    </row>
    <row r="121" spans="1:5" ht="24" x14ac:dyDescent="0.2">
      <c r="A121" s="1159">
        <v>115</v>
      </c>
      <c r="B121" s="1160" t="str">
        <f t="shared" si="4"/>
        <v>Registre électrique dans l'accumulateur</v>
      </c>
      <c r="C121" s="1161" t="s">
        <v>1589</v>
      </c>
      <c r="D121" s="1157" t="s">
        <v>1788</v>
      </c>
      <c r="E121" s="1158" t="s">
        <v>882</v>
      </c>
    </row>
    <row r="122" spans="1:5" ht="36" x14ac:dyDescent="0.2">
      <c r="A122" s="1159">
        <v>116</v>
      </c>
      <c r="B122" s="1160" t="str">
        <f t="shared" si="4"/>
        <v>Registre électrique bloqué durant la charge de l'accu.</v>
      </c>
      <c r="C122" s="1161" t="s">
        <v>1590</v>
      </c>
      <c r="D122" s="1157" t="s">
        <v>1288</v>
      </c>
      <c r="E122" s="1158" t="s">
        <v>883</v>
      </c>
    </row>
    <row r="123" spans="1:5" x14ac:dyDescent="0.2">
      <c r="A123" s="1159">
        <v>117</v>
      </c>
      <c r="B123" s="1160" t="str">
        <f t="shared" si="4"/>
        <v>pas de résistance électrique</v>
      </c>
      <c r="C123" s="1161" t="s">
        <v>357</v>
      </c>
      <c r="D123" s="1157" t="s">
        <v>504</v>
      </c>
      <c r="E123" s="1158" t="s">
        <v>884</v>
      </c>
    </row>
    <row r="124" spans="1:5" ht="24" x14ac:dyDescent="0.2">
      <c r="A124" s="1159">
        <v>118</v>
      </c>
      <c r="B124" s="1160" t="str">
        <f t="shared" si="4"/>
        <v xml:space="preserve">Registre électrique en service en parallèle </v>
      </c>
      <c r="C124" s="1161" t="s">
        <v>502</v>
      </c>
      <c r="D124" s="1157" t="s">
        <v>1789</v>
      </c>
      <c r="E124" s="1158" t="s">
        <v>885</v>
      </c>
    </row>
    <row r="125" spans="1:5" ht="24" x14ac:dyDescent="0.2">
      <c r="A125" s="1159">
        <v>119</v>
      </c>
      <c r="B125" s="1160" t="str">
        <f t="shared" si="4"/>
        <v>Registre électrique pour postchauffage</v>
      </c>
      <c r="C125" s="1161" t="s">
        <v>503</v>
      </c>
      <c r="D125" s="1157" t="s">
        <v>1470</v>
      </c>
      <c r="E125" s="1158" t="s">
        <v>886</v>
      </c>
    </row>
    <row r="126" spans="1:5" ht="24" x14ac:dyDescent="0.2">
      <c r="A126" s="1159">
        <v>120</v>
      </c>
      <c r="B126" s="1160" t="str">
        <f t="shared" si="4"/>
        <v>Collecteurs solaires pour l'ECS</v>
      </c>
      <c r="C126" s="1161" t="s">
        <v>929</v>
      </c>
      <c r="D126" s="1157" t="s">
        <v>1790</v>
      </c>
      <c r="E126" s="1158" t="s">
        <v>789</v>
      </c>
    </row>
    <row r="127" spans="1:5" ht="24" x14ac:dyDescent="0.2">
      <c r="A127" s="1159">
        <v>121</v>
      </c>
      <c r="B127" s="1160" t="str">
        <f t="shared" si="4"/>
        <v>Collecteurs solaires pour chauffage et ECS</v>
      </c>
      <c r="C127" s="1161" t="s">
        <v>930</v>
      </c>
      <c r="D127" s="1157" t="s">
        <v>924</v>
      </c>
      <c r="E127" s="1158" t="s">
        <v>790</v>
      </c>
    </row>
    <row r="128" spans="1:5" x14ac:dyDescent="0.2">
      <c r="A128" s="1159">
        <v>122</v>
      </c>
      <c r="B128" s="1160" t="str">
        <f t="shared" si="4"/>
        <v xml:space="preserve">Azimut [°]:  </v>
      </c>
      <c r="C128" s="1161" t="s">
        <v>1215</v>
      </c>
      <c r="D128" s="1157" t="s">
        <v>1215</v>
      </c>
      <c r="E128" s="1158" t="s">
        <v>1215</v>
      </c>
    </row>
    <row r="129" spans="1:5" x14ac:dyDescent="0.2">
      <c r="A129" s="1159">
        <v>123</v>
      </c>
      <c r="B129" s="1160" t="str">
        <f t="shared" si="4"/>
        <v>Pente [°]:</v>
      </c>
      <c r="C129" s="1161" t="s">
        <v>1216</v>
      </c>
      <c r="D129" s="1157" t="s">
        <v>925</v>
      </c>
      <c r="E129" s="1158" t="s">
        <v>791</v>
      </c>
    </row>
    <row r="130" spans="1:5" x14ac:dyDescent="0.2">
      <c r="A130" s="1159">
        <v>124</v>
      </c>
      <c r="B130" s="1160" t="str">
        <f t="shared" si="4"/>
        <v>m</v>
      </c>
      <c r="C130" s="1161" t="s">
        <v>3497</v>
      </c>
      <c r="D130" s="1157" t="s">
        <v>722</v>
      </c>
      <c r="E130" s="1158" t="s">
        <v>792</v>
      </c>
    </row>
    <row r="131" spans="1:5" x14ac:dyDescent="0.2">
      <c r="A131" s="1159">
        <v>125</v>
      </c>
      <c r="B131" s="1160" t="str">
        <f t="shared" si="4"/>
        <v>impossible</v>
      </c>
      <c r="C131" s="1161" t="s">
        <v>505</v>
      </c>
      <c r="D131" s="1157" t="s">
        <v>926</v>
      </c>
      <c r="E131" s="1158" t="s">
        <v>3596</v>
      </c>
    </row>
    <row r="132" spans="1:5" x14ac:dyDescent="0.2">
      <c r="A132" s="1159">
        <v>126</v>
      </c>
      <c r="B132" s="1160" t="str">
        <f t="shared" si="4"/>
        <v>Danger de gel!</v>
      </c>
      <c r="C132" s="1161" t="s">
        <v>506</v>
      </c>
      <c r="D132" s="1157" t="s">
        <v>507</v>
      </c>
      <c r="E132" s="1158" t="s">
        <v>793</v>
      </c>
    </row>
    <row r="133" spans="1:5" x14ac:dyDescent="0.2">
      <c r="A133" s="1159">
        <v>127</v>
      </c>
      <c r="B133" s="1160" t="str">
        <f t="shared" si="4"/>
        <v>dT utilisateur</v>
      </c>
      <c r="C133" s="1161" t="s">
        <v>508</v>
      </c>
      <c r="D133" s="1157" t="s">
        <v>509</v>
      </c>
      <c r="E133" s="1158" t="s">
        <v>794</v>
      </c>
    </row>
    <row r="134" spans="1:5" x14ac:dyDescent="0.2">
      <c r="A134" s="1159">
        <v>128</v>
      </c>
      <c r="B134" s="1160" t="str">
        <f t="shared" si="4"/>
        <v>T Dep</v>
      </c>
      <c r="C134" s="1161" t="s">
        <v>511</v>
      </c>
      <c r="D134" s="1157" t="s">
        <v>510</v>
      </c>
      <c r="E134" s="1158" t="s">
        <v>795</v>
      </c>
    </row>
    <row r="135" spans="1:5" x14ac:dyDescent="0.2">
      <c r="A135" s="1159">
        <v>129</v>
      </c>
      <c r="B135" s="1160" t="str">
        <f t="shared" si="4"/>
        <v>T Ret</v>
      </c>
      <c r="C135" s="1161" t="s">
        <v>512</v>
      </c>
      <c r="D135" s="1157" t="s">
        <v>513</v>
      </c>
      <c r="E135" s="1158" t="s">
        <v>796</v>
      </c>
    </row>
    <row r="136" spans="1:5" x14ac:dyDescent="0.2">
      <c r="A136" s="1159">
        <v>130</v>
      </c>
      <c r="B136" s="1160" t="str">
        <f t="shared" si="4"/>
        <v>dT accu</v>
      </c>
      <c r="C136" s="1161" t="s">
        <v>514</v>
      </c>
      <c r="D136" s="1157" t="s">
        <v>515</v>
      </c>
      <c r="E136" s="1158" t="s">
        <v>515</v>
      </c>
    </row>
    <row r="137" spans="1:5" x14ac:dyDescent="0.2">
      <c r="A137" s="1159">
        <v>131</v>
      </c>
      <c r="B137" s="1160" t="str">
        <f t="shared" si="4"/>
        <v>Offre de l'installateur:</v>
      </c>
      <c r="C137" s="1161" t="s">
        <v>3894</v>
      </c>
      <c r="D137" s="1157" t="s">
        <v>927</v>
      </c>
      <c r="E137" s="1158" t="s">
        <v>797</v>
      </c>
    </row>
    <row r="138" spans="1:5" ht="24" x14ac:dyDescent="0.2">
      <c r="A138" s="1159">
        <v>132</v>
      </c>
      <c r="B138" s="1160" t="str">
        <f t="shared" si="4"/>
        <v>Exigence minimale pour l'installation PAC</v>
      </c>
      <c r="C138" s="1161" t="s">
        <v>2131</v>
      </c>
      <c r="D138" s="1157" t="s">
        <v>360</v>
      </c>
      <c r="E138" s="1158" t="s">
        <v>798</v>
      </c>
    </row>
    <row r="139" spans="1:5" x14ac:dyDescent="0.2">
      <c r="A139" s="1159">
        <v>133</v>
      </c>
      <c r="B139" s="1160" t="str">
        <f t="shared" si="4"/>
        <v>valeur minimale:</v>
      </c>
      <c r="C139" s="1161" t="s">
        <v>1737</v>
      </c>
      <c r="D139" s="1157" t="s">
        <v>1739</v>
      </c>
      <c r="E139" s="1158" t="s">
        <v>799</v>
      </c>
    </row>
    <row r="140" spans="1:5" x14ac:dyDescent="0.2">
      <c r="A140" s="1159">
        <v>134</v>
      </c>
      <c r="B140" s="1160" t="str">
        <f t="shared" si="4"/>
        <v>valeur proposée:</v>
      </c>
      <c r="C140" s="1161" t="s">
        <v>1738</v>
      </c>
      <c r="D140" s="1157" t="s">
        <v>3400</v>
      </c>
      <c r="E140" s="1158" t="s">
        <v>800</v>
      </c>
    </row>
    <row r="141" spans="1:5" ht="24" x14ac:dyDescent="0.2">
      <c r="A141" s="1159">
        <v>135</v>
      </c>
      <c r="B141" s="1160" t="str">
        <f t="shared" si="4"/>
        <v>Chauffage + production d'ECS décentralisée par PAC</v>
      </c>
      <c r="C141" s="1161" t="s">
        <v>871</v>
      </c>
      <c r="D141" s="1157" t="s">
        <v>1791</v>
      </c>
      <c r="E141" s="1158" t="s">
        <v>1931</v>
      </c>
    </row>
    <row r="142" spans="1:5" ht="24" x14ac:dyDescent="0.2">
      <c r="A142" s="1159">
        <v>136</v>
      </c>
      <c r="B142" s="1160" t="str">
        <f t="shared" si="4"/>
        <v>Besoin de chaleur pour le chauffage Qh,eff:</v>
      </c>
      <c r="C142" s="1161" t="s">
        <v>516</v>
      </c>
      <c r="D142" s="1157" t="s">
        <v>361</v>
      </c>
      <c r="E142" s="1158" t="s">
        <v>801</v>
      </c>
    </row>
    <row r="143" spans="1:5" ht="96" x14ac:dyDescent="0.2">
      <c r="A143" s="1159">
        <v>137</v>
      </c>
      <c r="B143" s="1160" t="str">
        <f t="shared" si="4"/>
        <v>Peut être repris du calcul selon SIA 380/1. Calculé avec le débit d'air neuf thermiquement actif (la RC peut être prise en compte).</v>
      </c>
      <c r="C143" s="1161" t="s">
        <v>517</v>
      </c>
      <c r="D143" s="1157" t="s">
        <v>646</v>
      </c>
      <c r="E143" s="1158" t="s">
        <v>802</v>
      </c>
    </row>
    <row r="144" spans="1:5" ht="24" x14ac:dyDescent="0.2">
      <c r="A144" s="1159">
        <v>138</v>
      </c>
      <c r="B144" s="1160" t="str">
        <f t="shared" si="4"/>
        <v>Déperditions par tranmission:</v>
      </c>
      <c r="C144" s="1161" t="s">
        <v>518</v>
      </c>
      <c r="D144" s="1157" t="s">
        <v>362</v>
      </c>
      <c r="E144" s="1158" t="s">
        <v>803</v>
      </c>
    </row>
    <row r="145" spans="1:5" ht="60" x14ac:dyDescent="0.2">
      <c r="A145" s="1159">
        <v>139</v>
      </c>
      <c r="B145" s="1160" t="str">
        <f t="shared" si="4"/>
        <v>Peuvent être repris du calcul selon SIA 380/1. Si QT et QV sont laissés vides, il est admis que:
(QT+QV)=Qh/15*24</v>
      </c>
      <c r="C145" s="1161" t="s">
        <v>777</v>
      </c>
      <c r="D145" s="1157" t="s">
        <v>647</v>
      </c>
      <c r="E145" s="1158" t="s">
        <v>804</v>
      </c>
    </row>
    <row r="146" spans="1:5" ht="27" customHeight="1" x14ac:dyDescent="0.2">
      <c r="A146" s="1159">
        <v>140</v>
      </c>
      <c r="B146" s="1160" t="str">
        <f t="shared" si="4"/>
        <v xml:space="preserve">puissance de la PAC insuffisante </v>
      </c>
      <c r="C146" s="1161" t="s">
        <v>3946</v>
      </c>
      <c r="D146" s="1157" t="s">
        <v>78</v>
      </c>
      <c r="E146" s="1158" t="s">
        <v>1932</v>
      </c>
    </row>
    <row r="147" spans="1:5" ht="24" x14ac:dyDescent="0.2">
      <c r="A147" s="1159">
        <v>141</v>
      </c>
      <c r="B147" s="1160" t="str">
        <f t="shared" si="4"/>
        <v>Déperditions par renouvellement d'air:</v>
      </c>
      <c r="C147" s="1161" t="s">
        <v>754</v>
      </c>
      <c r="D147" s="1157" t="s">
        <v>363</v>
      </c>
      <c r="E147" s="1158" t="s">
        <v>805</v>
      </c>
    </row>
    <row r="148" spans="1:5" ht="114.6" customHeight="1" x14ac:dyDescent="0.2">
      <c r="A148" s="1159">
        <v>142</v>
      </c>
      <c r="B148" s="1160" t="str">
        <f t="shared" si="4"/>
        <v>Peuvent être repris du calcul selon SIA 380/1. La RC peut être prise en compte dans les déperditions par renouvellement d'air (c-à-d. calculé avec le débit d'air neuf thermiquement actif). Si QT et QV sont laissés vides, il est admis que:
(QT+QV)=Qh/15*24</v>
      </c>
      <c r="C148" s="1161" t="s">
        <v>1700</v>
      </c>
      <c r="D148" s="1157" t="s">
        <v>648</v>
      </c>
      <c r="E148" s="1158" t="s">
        <v>3163</v>
      </c>
    </row>
    <row r="149" spans="1:5" ht="22.9" customHeight="1" x14ac:dyDescent="0.2">
      <c r="A149" s="1159">
        <v>143</v>
      </c>
      <c r="B149" s="1160" t="str">
        <f t="shared" si="4"/>
        <v>Température cible du local le plus chaud (p.ex. salle de bains)</v>
      </c>
      <c r="C149" s="1161" t="s">
        <v>1495</v>
      </c>
      <c r="D149" s="1160" t="s">
        <v>3326</v>
      </c>
      <c r="E149" s="1158" t="s">
        <v>1933</v>
      </c>
    </row>
    <row r="150" spans="1:5" ht="24" x14ac:dyDescent="0.2">
      <c r="A150" s="1159">
        <v>144</v>
      </c>
      <c r="B150" s="1160" t="str">
        <f t="shared" ref="B150:B181" si="5">IF(F150&lt;&gt;"",F150,INDEX($C$7:$F$713,A150,$C$2))</f>
        <v>Valeurs typiques par défaut pour habitations:</v>
      </c>
      <c r="C150" s="1161" t="s">
        <v>755</v>
      </c>
      <c r="D150" s="1157" t="s">
        <v>3531</v>
      </c>
      <c r="E150" s="1158" t="s">
        <v>806</v>
      </c>
    </row>
    <row r="151" spans="1:5" ht="132" x14ac:dyDescent="0.2">
      <c r="A151" s="1159">
        <v>145</v>
      </c>
      <c r="B151" s="1160" t="str">
        <f t="shared" si="5"/>
        <v xml:space="preserve">Pertes de distribution pour bâtiment à construire, chauffage dans la cave, isolée selon prescriptions (armatures, pompes ainsiq ue conduites isolées):  1-3%.  /  Pertes de distribution pour bâtiment à construire, chauffage dans bâtiment voisin:  3-15%.   </v>
      </c>
      <c r="C151" s="1161" t="s">
        <v>1701</v>
      </c>
      <c r="D151" s="1157" t="s">
        <v>2701</v>
      </c>
      <c r="E151" s="1158" t="s">
        <v>1334</v>
      </c>
    </row>
    <row r="152" spans="1:5" ht="25.9" customHeight="1" x14ac:dyDescent="0.2">
      <c r="A152" s="1159">
        <v>146</v>
      </c>
      <c r="B152" s="1160" t="str">
        <f t="shared" si="5"/>
        <v xml:space="preserve">mode anti-légionnellose journalier </v>
      </c>
      <c r="C152" s="1161" t="s">
        <v>1493</v>
      </c>
      <c r="D152" s="1160" t="s">
        <v>3327</v>
      </c>
      <c r="E152" s="1158" t="s">
        <v>1934</v>
      </c>
    </row>
    <row r="153" spans="1:5" ht="24" customHeight="1" x14ac:dyDescent="0.2">
      <c r="A153" s="1159">
        <v>147</v>
      </c>
      <c r="B153" s="1160" t="str">
        <f t="shared" si="5"/>
        <v>mode anti-légionnellose hebdomadaire</v>
      </c>
      <c r="C153" s="1161" t="s">
        <v>1494</v>
      </c>
      <c r="D153" s="1160" t="s">
        <v>3328</v>
      </c>
      <c r="E153" s="1158" t="s">
        <v>0</v>
      </c>
    </row>
    <row r="154" spans="1:5" ht="26.45" customHeight="1" x14ac:dyDescent="0.2">
      <c r="A154" s="1159">
        <v>148</v>
      </c>
      <c r="B154" s="1160" t="str">
        <f t="shared" si="5"/>
        <v>Température de dimensionnement des sondes:</v>
      </c>
      <c r="C154" s="1161" t="s">
        <v>759</v>
      </c>
      <c r="D154" s="1157" t="s">
        <v>3402</v>
      </c>
      <c r="E154" s="1158" t="s">
        <v>807</v>
      </c>
    </row>
    <row r="155" spans="1:5" ht="36" x14ac:dyDescent="0.2">
      <c r="A155" s="1159">
        <v>149</v>
      </c>
      <c r="B155" s="1160" t="str">
        <f t="shared" si="5"/>
        <v>Annexer le calcul externe (p. ex. avec le logiciel EWS) ou laisser vide.</v>
      </c>
      <c r="C155" s="1161" t="s">
        <v>106</v>
      </c>
      <c r="D155" s="1157" t="s">
        <v>364</v>
      </c>
      <c r="E155" s="1158" t="s">
        <v>3119</v>
      </c>
    </row>
    <row r="156" spans="1:5" ht="24" x14ac:dyDescent="0.2">
      <c r="A156" s="1159">
        <v>150</v>
      </c>
      <c r="B156" s="1160" t="str">
        <f t="shared" si="5"/>
        <v>Durée de coupure d'alimentation de la PAC:</v>
      </c>
      <c r="C156" s="1161" t="s">
        <v>778</v>
      </c>
      <c r="D156" s="1157" t="s">
        <v>2597</v>
      </c>
      <c r="E156" s="1158" t="s">
        <v>808</v>
      </c>
    </row>
    <row r="157" spans="1:5" ht="108" x14ac:dyDescent="0.2">
      <c r="A157" s="1159">
        <v>151</v>
      </c>
      <c r="B157" s="1160" t="str">
        <f t="shared" si="5"/>
        <v>(heures par jour): interruptions de l'alimentation électrique de la PAC par le distributeur d'électricité. A demander auprès du distributeur local. Mentionner les temps de coupure effectifs, aux conditions de dimensionnement.</v>
      </c>
      <c r="C157" s="1161" t="s">
        <v>780</v>
      </c>
      <c r="D157" s="1157" t="s">
        <v>193</v>
      </c>
      <c r="E157" s="1158" t="s">
        <v>1871</v>
      </c>
    </row>
    <row r="158" spans="1:5" ht="24" x14ac:dyDescent="0.2">
      <c r="A158" s="1159">
        <v>152</v>
      </c>
      <c r="B158" s="1160" t="str">
        <f t="shared" si="5"/>
        <v>Puissance de chauffage nécessaire:</v>
      </c>
      <c r="C158" s="1161" t="s">
        <v>756</v>
      </c>
      <c r="D158" s="1157" t="s">
        <v>3532</v>
      </c>
      <c r="E158" s="1158" t="s">
        <v>1872</v>
      </c>
    </row>
    <row r="159" spans="1:5" ht="72" x14ac:dyDescent="0.2">
      <c r="A159" s="1159">
        <v>153</v>
      </c>
      <c r="B159" s="1160" t="str">
        <f t="shared" si="5"/>
        <v>La puissance de chauffage nécessaire peut tenir compte des gains de chaleur assurés (max. 10%, resp 1 kW). A justifier séparément.</v>
      </c>
      <c r="C159" s="1161" t="s">
        <v>757</v>
      </c>
      <c r="D159" s="1157" t="s">
        <v>666</v>
      </c>
      <c r="E159" s="1158" t="s">
        <v>1873</v>
      </c>
    </row>
    <row r="160" spans="1:5" ht="24" x14ac:dyDescent="0.2">
      <c r="A160" s="1159">
        <v>154</v>
      </c>
      <c r="B160" s="1160" t="str">
        <f t="shared" si="5"/>
        <v>Puissance de chauffage nécessaire:</v>
      </c>
      <c r="C160" s="1161" t="s">
        <v>756</v>
      </c>
      <c r="D160" s="1157" t="s">
        <v>3532</v>
      </c>
      <c r="E160" s="1158" t="s">
        <v>1872</v>
      </c>
    </row>
    <row r="161" spans="1:5" ht="96" x14ac:dyDescent="0.2">
      <c r="A161" s="1159">
        <v>155</v>
      </c>
      <c r="B161" s="1160" t="str">
        <f t="shared" si="5"/>
        <v>Valeur proposée: si le champ reste vide, le calcul se fait avec une valeur par défaut, calculée comme suit:
(QT+QV)*SRE/3.6/(HGT*1.065)/24*(20-TaMin) [kW].</v>
      </c>
      <c r="C161" s="1161" t="s">
        <v>781</v>
      </c>
      <c r="D161" s="1157" t="s">
        <v>1371</v>
      </c>
      <c r="E161" s="1158" t="s">
        <v>887</v>
      </c>
    </row>
    <row r="162" spans="1:5" ht="108" x14ac:dyDescent="0.2">
      <c r="A162" s="1159">
        <v>156</v>
      </c>
      <c r="B162" s="1160" t="str">
        <f t="shared" si="5"/>
        <v>Valeur minimale: si la valeur introduite est plus petite que la valeur minimale, le calcul se fait avec la valeur minimale, calculée comme suit:
0.85*valeur proposée [kW], resp. valeur proposée - 1.2 kW.</v>
      </c>
      <c r="C162" s="1161" t="s">
        <v>782</v>
      </c>
      <c r="D162" s="1157" t="s">
        <v>667</v>
      </c>
      <c r="E162" s="1158" t="s">
        <v>1874</v>
      </c>
    </row>
    <row r="163" spans="1:5" ht="24" x14ac:dyDescent="0.2">
      <c r="A163" s="1159">
        <v>157</v>
      </c>
      <c r="B163" s="1160" t="str">
        <f t="shared" si="5"/>
        <v>Valeurs typiques par défaut pour habitations:</v>
      </c>
      <c r="C163" s="1161" t="s">
        <v>755</v>
      </c>
      <c r="D163" s="1157" t="s">
        <v>3531</v>
      </c>
      <c r="E163" s="1158" t="s">
        <v>806</v>
      </c>
    </row>
    <row r="164" spans="1:5" ht="48" x14ac:dyDescent="0.2">
      <c r="A164" s="1159">
        <v>158</v>
      </c>
      <c r="B164" s="1160" t="str">
        <f t="shared" si="5"/>
        <v>- Pertes accumulateur + distribution (armatures, pompes ainsi que conduites isolées):     15-30%</v>
      </c>
      <c r="C164" s="1163" t="s">
        <v>758</v>
      </c>
      <c r="D164" s="1164" t="s">
        <v>1510</v>
      </c>
      <c r="E164" s="1165" t="s">
        <v>3349</v>
      </c>
    </row>
    <row r="165" spans="1:5" ht="96" x14ac:dyDescent="0.2">
      <c r="A165" s="1159">
        <v>159</v>
      </c>
      <c r="B165" s="1160" t="str">
        <f t="shared" si="5"/>
        <v>- Pertes accumulateur + distribution + circulation (armatures, pompes ainsi que conduites isolées):     30-50%.    Le besoin en électricité des rubans chauffant est à calculer séparément.</v>
      </c>
      <c r="C165" s="1163" t="s">
        <v>1853</v>
      </c>
      <c r="D165" s="1164" t="s">
        <v>1511</v>
      </c>
      <c r="E165" s="1165" t="s">
        <v>3354</v>
      </c>
    </row>
    <row r="166" spans="1:5" ht="24" x14ac:dyDescent="0.2">
      <c r="A166" s="1159">
        <v>160</v>
      </c>
      <c r="B166" s="1160" t="str">
        <f t="shared" si="5"/>
        <v>Fonctionnement chauffage monovalent:</v>
      </c>
      <c r="C166" s="1161" t="s">
        <v>1854</v>
      </c>
      <c r="D166" s="1157" t="s">
        <v>3533</v>
      </c>
      <c r="E166" s="1158" t="s">
        <v>788</v>
      </c>
    </row>
    <row r="167" spans="1:5" ht="49.15" customHeight="1" x14ac:dyDescent="0.2">
      <c r="A167" s="1159">
        <v>161</v>
      </c>
      <c r="B167" s="1160" t="str">
        <f t="shared" si="5"/>
        <v>Chauffage avec PAC sans chauffage d'appoint et sans corps de chauffe électrique (pour le chauffage)</v>
      </c>
      <c r="C167" s="1161" t="s">
        <v>1855</v>
      </c>
      <c r="D167" s="1157" t="s">
        <v>3534</v>
      </c>
      <c r="E167" s="1158" t="s">
        <v>3355</v>
      </c>
    </row>
    <row r="168" spans="1:5" ht="24.6" customHeight="1" x14ac:dyDescent="0.2">
      <c r="A168" s="1159">
        <v>162</v>
      </c>
      <c r="B168" s="1160" t="str">
        <f t="shared" si="5"/>
        <v>avec chauffage électrique d'appoint:</v>
      </c>
      <c r="C168" s="1161" t="s">
        <v>2552</v>
      </c>
      <c r="D168" s="1157" t="s">
        <v>3535</v>
      </c>
      <c r="E168" s="1158" t="s">
        <v>3594</v>
      </c>
    </row>
    <row r="169" spans="1:5" ht="36.6" customHeight="1" x14ac:dyDescent="0.2">
      <c r="A169" s="1159">
        <v>163</v>
      </c>
      <c r="B169" s="1160" t="str">
        <f t="shared" si="5"/>
        <v xml:space="preserve">Chauffage avec PAC et chauffage électrique d'appoint </v>
      </c>
      <c r="C169" s="1161" t="s">
        <v>2551</v>
      </c>
      <c r="D169" s="1157" t="s">
        <v>407</v>
      </c>
      <c r="E169" s="1158" t="s">
        <v>3356</v>
      </c>
    </row>
    <row r="170" spans="1:5" ht="13.15" customHeight="1" x14ac:dyDescent="0.2">
      <c r="A170" s="1159">
        <v>164</v>
      </c>
      <c r="B170" s="1160" t="str">
        <f t="shared" si="5"/>
        <v>Fonctionnement bivalent fossile:</v>
      </c>
      <c r="C170" s="1161" t="s">
        <v>2309</v>
      </c>
      <c r="D170" s="1157" t="s">
        <v>408</v>
      </c>
      <c r="E170" s="1158" t="s">
        <v>3357</v>
      </c>
    </row>
    <row r="171" spans="1:5" ht="48" x14ac:dyDescent="0.2">
      <c r="A171" s="1159">
        <v>165</v>
      </c>
      <c r="B171" s="1160" t="str">
        <f t="shared" si="5"/>
        <v>Chauffage avec PAC et chaudière d'appoint à mazout ou à gaz pour les pointes de puissance</v>
      </c>
      <c r="C171" s="1161" t="s">
        <v>2308</v>
      </c>
      <c r="D171" s="1157" t="s">
        <v>668</v>
      </c>
      <c r="E171" s="1158" t="s">
        <v>3358</v>
      </c>
    </row>
    <row r="172" spans="1:5" ht="36" x14ac:dyDescent="0.2">
      <c r="A172" s="1159">
        <v>166</v>
      </c>
      <c r="B172" s="1160" t="str">
        <f t="shared" si="5"/>
        <v>Température de dimensionnement des sondes:</v>
      </c>
      <c r="C172" s="1161" t="s">
        <v>759</v>
      </c>
      <c r="D172" s="1157" t="s">
        <v>3402</v>
      </c>
      <c r="E172" s="1158" t="s">
        <v>807</v>
      </c>
    </row>
    <row r="173" spans="1:5" ht="36" x14ac:dyDescent="0.2">
      <c r="A173" s="1159">
        <v>167</v>
      </c>
      <c r="B173" s="1160" t="str">
        <f t="shared" si="5"/>
        <v>Annexer le calcul externe (p. ex. avec le logiciel EWS) ou laisser vide.</v>
      </c>
      <c r="C173" s="1161" t="s">
        <v>107</v>
      </c>
      <c r="D173" s="1157" t="s">
        <v>364</v>
      </c>
      <c r="E173" s="1158" t="s">
        <v>3119</v>
      </c>
    </row>
    <row r="174" spans="1:5" ht="48.6" customHeight="1" x14ac:dyDescent="0.2">
      <c r="A174" s="1159">
        <v>168</v>
      </c>
      <c r="B174" s="1160" t="str">
        <f t="shared" si="5"/>
        <v>Prendre les valeurs selon publications du centre de test pour PAC WPZ, ou calculer avec dT utilisateur = Q / m cp</v>
      </c>
      <c r="C174" s="1161" t="s">
        <v>3904</v>
      </c>
      <c r="D174" s="1157" t="s">
        <v>1512</v>
      </c>
      <c r="E174" s="1158" t="s">
        <v>3359</v>
      </c>
    </row>
    <row r="175" spans="1:5" ht="34.15" customHeight="1" x14ac:dyDescent="0.2">
      <c r="A175" s="1159">
        <v>169</v>
      </c>
      <c r="B175" s="1160" t="str">
        <f t="shared" si="5"/>
        <v>Indique à combien de °C au-dessus de la température de départ l'accumulateur est chargé.</v>
      </c>
      <c r="C175" s="1161" t="s">
        <v>2114</v>
      </c>
      <c r="D175" s="1157" t="s">
        <v>1513</v>
      </c>
      <c r="E175" s="1158" t="s">
        <v>3360</v>
      </c>
    </row>
    <row r="176" spans="1:5" ht="48" x14ac:dyDescent="0.2">
      <c r="A176" s="1159">
        <v>170</v>
      </c>
      <c r="B176" s="1160" t="str">
        <f t="shared" si="5"/>
        <v>Température de commutation pour fonctionnement bivalent alternatif:</v>
      </c>
      <c r="C176" s="1161" t="s">
        <v>108</v>
      </c>
      <c r="D176" s="1157" t="s">
        <v>1471</v>
      </c>
      <c r="E176" s="1158" t="s">
        <v>1460</v>
      </c>
    </row>
    <row r="177" spans="1:5" ht="69" customHeight="1" x14ac:dyDescent="0.2">
      <c r="A177" s="1159">
        <v>171</v>
      </c>
      <c r="B177" s="1160" t="str">
        <f t="shared" si="5"/>
        <v>Température extérieure de dimensionnement au-dessous de laquelle la PAC est complètement déclenchée, le chauffage d'appoint couvrant la totalité des besoins de chaleur.</v>
      </c>
      <c r="C177" s="1161" t="s">
        <v>109</v>
      </c>
      <c r="D177" s="1157" t="s">
        <v>1643</v>
      </c>
      <c r="E177" s="1158" t="s">
        <v>1579</v>
      </c>
    </row>
    <row r="178" spans="1:5" ht="24" x14ac:dyDescent="0.2">
      <c r="A178" s="1159">
        <v>172</v>
      </c>
      <c r="B178" s="1160" t="str">
        <f t="shared" si="5"/>
        <v>Chauffage électrique en fonctionnement parallèle:</v>
      </c>
      <c r="C178" s="1161" t="s">
        <v>110</v>
      </c>
      <c r="D178" s="1157" t="s">
        <v>1644</v>
      </c>
      <c r="E178" s="1158" t="s">
        <v>1580</v>
      </c>
    </row>
    <row r="179" spans="1:5" ht="48" x14ac:dyDescent="0.2">
      <c r="A179" s="1159">
        <v>173</v>
      </c>
      <c r="B179" s="1160" t="str">
        <f t="shared" si="5"/>
        <v>Corps de chauffe monté dans l'accumulateur, non bloqué durant le chargement de l'accumulteur.</v>
      </c>
      <c r="C179" s="1161" t="s">
        <v>111</v>
      </c>
      <c r="D179" s="1157" t="s">
        <v>669</v>
      </c>
      <c r="E179" s="1158" t="s">
        <v>1581</v>
      </c>
    </row>
    <row r="180" spans="1:5" ht="24" x14ac:dyDescent="0.2">
      <c r="A180" s="1159">
        <v>174</v>
      </c>
      <c r="B180" s="1160" t="str">
        <f t="shared" si="5"/>
        <v>Registre électrique pour post-chauffage:</v>
      </c>
      <c r="C180" s="1161" t="s">
        <v>112</v>
      </c>
      <c r="D180" s="1157" t="s">
        <v>3222</v>
      </c>
      <c r="E180" s="1158" t="s">
        <v>1582</v>
      </c>
    </row>
    <row r="181" spans="1:5" ht="84" x14ac:dyDescent="0.2">
      <c r="A181" s="1159">
        <v>175</v>
      </c>
      <c r="B181" s="1160" t="str">
        <f t="shared" si="5"/>
        <v>Registre électrique instantanné après l'accumulateur ou registre électrique dans accumulateur, bloqué durant le chargement de l'accumulateur.</v>
      </c>
      <c r="C181" s="1161" t="s">
        <v>113</v>
      </c>
      <c r="D181" s="1157" t="s">
        <v>670</v>
      </c>
      <c r="E181" s="1158" t="s">
        <v>1583</v>
      </c>
    </row>
    <row r="182" spans="1:5" ht="48" x14ac:dyDescent="0.2">
      <c r="A182" s="1159">
        <v>176</v>
      </c>
      <c r="B182" s="1160" t="str">
        <f t="shared" ref="B182:B213" si="6">IF(F182&lt;&gt;"",F182,INDEX($C$7:$F$713,A182,$C$2))</f>
        <v>Température de l'ECS pouvant être atteinte avec la seule PAC.</v>
      </c>
      <c r="C182" s="1161" t="s">
        <v>114</v>
      </c>
      <c r="D182" s="1157" t="s">
        <v>1645</v>
      </c>
      <c r="E182" s="1158" t="s">
        <v>941</v>
      </c>
    </row>
    <row r="183" spans="1:5" ht="16.899999999999999" customHeight="1" x14ac:dyDescent="0.2">
      <c r="A183" s="1159">
        <v>177</v>
      </c>
      <c r="B183" s="1160" t="str">
        <f t="shared" si="6"/>
        <v>Installation solaire:</v>
      </c>
      <c r="C183" s="1161" t="s">
        <v>1602</v>
      </c>
      <c r="D183" s="1157" t="s">
        <v>1603</v>
      </c>
      <c r="E183" s="1158" t="s">
        <v>3684</v>
      </c>
    </row>
    <row r="184" spans="1:5" ht="72" x14ac:dyDescent="0.2">
      <c r="A184" s="1159">
        <v>178</v>
      </c>
      <c r="B184" s="1160" t="str">
        <f t="shared" si="6"/>
        <v>1. Aucune installation solaire  2. Chauffage solaire ECS  3. Chauffage solaire ECS avec appoint au chauffage</v>
      </c>
      <c r="C184" s="1161" t="s">
        <v>1604</v>
      </c>
      <c r="D184" s="1157" t="s">
        <v>1605</v>
      </c>
      <c r="E184" s="1158" t="s">
        <v>3685</v>
      </c>
    </row>
    <row r="185" spans="1:5" ht="14.45" customHeight="1" x14ac:dyDescent="0.2">
      <c r="A185" s="1159">
        <v>179</v>
      </c>
      <c r="B185" s="1160" t="str">
        <f t="shared" si="6"/>
        <v>Valeurs de calcul pour Tdép</v>
      </c>
      <c r="C185" s="1161" t="s">
        <v>1496</v>
      </c>
      <c r="D185" s="1160" t="s">
        <v>3329</v>
      </c>
      <c r="E185" s="1158" t="s">
        <v>21</v>
      </c>
    </row>
    <row r="186" spans="1:5" ht="23.45" customHeight="1" x14ac:dyDescent="0.2">
      <c r="A186" s="1159">
        <v>180</v>
      </c>
      <c r="B186" s="1160" t="str">
        <f t="shared" si="6"/>
        <v>Taux de couverture du chauffage d'appoint pour chauffage:</v>
      </c>
      <c r="C186" s="1161" t="s">
        <v>115</v>
      </c>
      <c r="D186" s="1157" t="s">
        <v>1646</v>
      </c>
      <c r="E186" s="1158" t="s">
        <v>498</v>
      </c>
    </row>
    <row r="187" spans="1:5" ht="24" x14ac:dyDescent="0.2">
      <c r="A187" s="1159">
        <v>181</v>
      </c>
      <c r="B187" s="1160" t="str">
        <f t="shared" si="6"/>
        <v>A reporter dans le justificatif MINERGIE</v>
      </c>
      <c r="C187" s="1161" t="s">
        <v>1106</v>
      </c>
      <c r="D187" s="1157" t="s">
        <v>1647</v>
      </c>
      <c r="E187" s="1158" t="s">
        <v>499</v>
      </c>
    </row>
    <row r="188" spans="1:5" x14ac:dyDescent="0.2">
      <c r="A188" s="1159">
        <v>182</v>
      </c>
      <c r="B188" s="1160" t="str">
        <f t="shared" si="6"/>
        <v>Surface</v>
      </c>
      <c r="C188" s="1161" t="s">
        <v>1507</v>
      </c>
      <c r="D188" s="1157" t="s">
        <v>1508</v>
      </c>
      <c r="E188" s="1158" t="s">
        <v>1509</v>
      </c>
    </row>
    <row r="189" spans="1:5" ht="23.45" customHeight="1" x14ac:dyDescent="0.2">
      <c r="A189" s="1159">
        <v>183</v>
      </c>
      <c r="B189" s="1160" t="str">
        <f t="shared" si="6"/>
        <v>Taux de couverture du chauffage d'appoint pour chauffage ECS:</v>
      </c>
      <c r="C189" s="1161" t="s">
        <v>1107</v>
      </c>
      <c r="D189" s="1157" t="s">
        <v>1648</v>
      </c>
      <c r="E189" s="1158" t="s">
        <v>500</v>
      </c>
    </row>
    <row r="190" spans="1:5" ht="25.9" customHeight="1" x14ac:dyDescent="0.2">
      <c r="A190" s="1159">
        <v>184</v>
      </c>
      <c r="B190" s="1160" t="str">
        <f t="shared" si="6"/>
        <v>A reporter dans le justificatif MINERGIE</v>
      </c>
      <c r="C190" s="1161" t="s">
        <v>1106</v>
      </c>
      <c r="D190" s="1157" t="s">
        <v>1647</v>
      </c>
      <c r="E190" s="1158" t="s">
        <v>499</v>
      </c>
    </row>
    <row r="191" spans="1:5" ht="24.6" customHeight="1" x14ac:dyDescent="0.2">
      <c r="A191" s="1159">
        <v>185</v>
      </c>
      <c r="B191" s="1160" t="str">
        <f t="shared" si="6"/>
        <v>Taux de couverture de la PAC pour le chauffage:</v>
      </c>
      <c r="C191" s="1161" t="s">
        <v>1007</v>
      </c>
      <c r="D191" s="1157" t="s">
        <v>1649</v>
      </c>
      <c r="E191" s="1158" t="s">
        <v>501</v>
      </c>
    </row>
    <row r="192" spans="1:5" ht="28.9" customHeight="1" x14ac:dyDescent="0.2">
      <c r="A192" s="1159">
        <v>186</v>
      </c>
      <c r="B192" s="1160" t="str">
        <f t="shared" si="6"/>
        <v>A reporter dans le justificatif MINERGIE</v>
      </c>
      <c r="C192" s="1161" t="s">
        <v>1106</v>
      </c>
      <c r="D192" s="1157" t="s">
        <v>1647</v>
      </c>
      <c r="E192" s="1158" t="s">
        <v>499</v>
      </c>
    </row>
    <row r="193" spans="1:5" ht="25.9" customHeight="1" x14ac:dyDescent="0.2">
      <c r="A193" s="1159">
        <v>187</v>
      </c>
      <c r="B193" s="1160" t="str">
        <f t="shared" si="6"/>
        <v>Taux de couverture de la PAC pour ECS</v>
      </c>
      <c r="C193" s="1161" t="s">
        <v>1008</v>
      </c>
      <c r="D193" s="1157" t="s">
        <v>3223</v>
      </c>
      <c r="E193" s="1158" t="s">
        <v>3683</v>
      </c>
    </row>
    <row r="194" spans="1:5" ht="31.15" customHeight="1" x14ac:dyDescent="0.2">
      <c r="A194" s="1159">
        <v>188</v>
      </c>
      <c r="B194" s="1160" t="str">
        <f t="shared" si="6"/>
        <v>A reporter dans le justificatif MINERGIE</v>
      </c>
      <c r="C194" s="1161" t="s">
        <v>1106</v>
      </c>
      <c r="D194" s="1157" t="s">
        <v>1647</v>
      </c>
      <c r="E194" s="1158" t="s">
        <v>499</v>
      </c>
    </row>
    <row r="195" spans="1:5" ht="13.15" customHeight="1" x14ac:dyDescent="0.2">
      <c r="A195" s="1159">
        <v>189</v>
      </c>
      <c r="B195" s="1160" t="str">
        <f t="shared" si="6"/>
        <v>Coefficient de performance</v>
      </c>
      <c r="C195" s="1161" t="s">
        <v>1606</v>
      </c>
      <c r="D195" s="1157" t="s">
        <v>1607</v>
      </c>
      <c r="E195" s="1158" t="s">
        <v>3686</v>
      </c>
    </row>
    <row r="196" spans="1:5" ht="36" customHeight="1" x14ac:dyDescent="0.2">
      <c r="A196" s="1159">
        <v>190</v>
      </c>
      <c r="B196" s="1160" t="str">
        <f t="shared" si="6"/>
        <v>sans tenir compte du chauffage d'appoint électrique / sans RC</v>
      </c>
      <c r="C196" s="1161" t="s">
        <v>1608</v>
      </c>
      <c r="D196" s="1157" t="s">
        <v>1609</v>
      </c>
      <c r="E196" s="1158" t="s">
        <v>3687</v>
      </c>
    </row>
    <row r="197" spans="1:5" ht="27" customHeight="1" x14ac:dyDescent="0.2">
      <c r="A197" s="1159">
        <v>191</v>
      </c>
      <c r="B197" s="1160" t="str">
        <f t="shared" si="6"/>
        <v>Puissance de chauffe pour Tdép</v>
      </c>
      <c r="C197" s="1161" t="s">
        <v>1497</v>
      </c>
      <c r="D197" s="1157" t="s">
        <v>3410</v>
      </c>
      <c r="E197" s="1158" t="s">
        <v>5</v>
      </c>
    </row>
    <row r="198" spans="1:5" ht="24" x14ac:dyDescent="0.2">
      <c r="A198" s="1159">
        <v>192</v>
      </c>
      <c r="B198" s="1160" t="str">
        <f t="shared" si="6"/>
        <v>COP à la température de départ</v>
      </c>
      <c r="C198" s="1161" t="s">
        <v>1498</v>
      </c>
      <c r="D198" s="1160" t="s">
        <v>3330</v>
      </c>
      <c r="E198" s="1158" t="s">
        <v>6</v>
      </c>
    </row>
    <row r="199" spans="1:5" ht="24" x14ac:dyDescent="0.2">
      <c r="A199" s="1159">
        <v>193</v>
      </c>
      <c r="B199" s="1160" t="str">
        <f t="shared" si="6"/>
        <v>Circulation d'ECS / câble chauffant</v>
      </c>
      <c r="C199" s="1161" t="s">
        <v>1591</v>
      </c>
      <c r="D199" s="1160" t="s">
        <v>3331</v>
      </c>
      <c r="E199" s="1158" t="s">
        <v>7</v>
      </c>
    </row>
    <row r="200" spans="1:5" ht="36" x14ac:dyDescent="0.2">
      <c r="A200" s="1159">
        <v>194</v>
      </c>
      <c r="B200" s="1160" t="str">
        <f t="shared" si="6"/>
        <v>Coefficient de performance annuel (COPa) de la PAC, pour le chauffage</v>
      </c>
      <c r="C200" s="1161" t="s">
        <v>651</v>
      </c>
      <c r="D200" s="1157" t="s">
        <v>1650</v>
      </c>
      <c r="E200" s="1158" t="s">
        <v>3688</v>
      </c>
    </row>
    <row r="201" spans="1:5" ht="49.15" customHeight="1" x14ac:dyDescent="0.2">
      <c r="A201" s="1159">
        <v>195</v>
      </c>
      <c r="B201" s="1160" t="str">
        <f t="shared" si="6"/>
        <v>Sans considérer la part de chauffage électrique direct et sans la part de la RC. A reporter dans le justificatif MINERGIE.</v>
      </c>
      <c r="C201" s="1161" t="s">
        <v>652</v>
      </c>
      <c r="D201" s="1157" t="s">
        <v>497</v>
      </c>
      <c r="E201" s="1158" t="s">
        <v>939</v>
      </c>
    </row>
    <row r="202" spans="1:5" ht="36" x14ac:dyDescent="0.2">
      <c r="A202" s="1159">
        <v>196</v>
      </c>
      <c r="B202" s="1160" t="str">
        <f t="shared" si="6"/>
        <v>Coefficient de performance annuel (COPa) de la PAC, pour l'ECS</v>
      </c>
      <c r="C202" s="1161" t="s">
        <v>653</v>
      </c>
      <c r="D202" s="1157" t="s">
        <v>1651</v>
      </c>
      <c r="E202" s="1158" t="s">
        <v>3689</v>
      </c>
    </row>
    <row r="203" spans="1:5" ht="48" x14ac:dyDescent="0.2">
      <c r="A203" s="1159">
        <v>197</v>
      </c>
      <c r="B203" s="1160" t="str">
        <f t="shared" si="6"/>
        <v>sans tenir compte de la part de chauffage électrique direct. A reporter dans le justificatif MINERGIE</v>
      </c>
      <c r="C203" s="1161" t="s">
        <v>654</v>
      </c>
      <c r="D203" s="1157" t="s">
        <v>1652</v>
      </c>
      <c r="E203" s="1158" t="s">
        <v>940</v>
      </c>
    </row>
    <row r="204" spans="1:5" x14ac:dyDescent="0.2">
      <c r="A204" s="1159">
        <v>198</v>
      </c>
      <c r="B204" s="1160" t="str">
        <f t="shared" si="6"/>
        <v>Azimut:</v>
      </c>
      <c r="C204" s="1161" t="s">
        <v>1203</v>
      </c>
      <c r="D204" s="1157" t="s">
        <v>1203</v>
      </c>
      <c r="E204" s="1158" t="s">
        <v>1203</v>
      </c>
    </row>
    <row r="205" spans="1:5" ht="48" x14ac:dyDescent="0.2">
      <c r="A205" s="1159">
        <v>199</v>
      </c>
      <c r="B205" s="1160" t="str">
        <f t="shared" si="6"/>
        <v>Ecart du champ de capteurs par rapport au Sud.  0 = Sud.  90 = Est ou Ouest.  Donnée sans [°].</v>
      </c>
      <c r="C205" s="1161" t="s">
        <v>650</v>
      </c>
      <c r="D205" s="1157" t="s">
        <v>1653</v>
      </c>
      <c r="E205" s="1158" t="s">
        <v>3690</v>
      </c>
    </row>
    <row r="206" spans="1:5" x14ac:dyDescent="0.2">
      <c r="A206" s="1159">
        <v>200</v>
      </c>
      <c r="B206" s="1160" t="str">
        <f t="shared" si="6"/>
        <v>Inclinaison:</v>
      </c>
      <c r="C206" s="1161" t="s">
        <v>1209</v>
      </c>
      <c r="D206" s="1157" t="s">
        <v>3224</v>
      </c>
      <c r="E206" s="1158" t="s">
        <v>3691</v>
      </c>
    </row>
    <row r="207" spans="1:5" ht="36" x14ac:dyDescent="0.2">
      <c r="A207" s="1159">
        <v>201</v>
      </c>
      <c r="B207" s="1160" t="str">
        <f t="shared" si="6"/>
        <v>Pente/inclinaison des collecteurs. 0 = horizontal, 90 = vertical.  Donnée sans [°].</v>
      </c>
      <c r="C207" s="1161" t="s">
        <v>1006</v>
      </c>
      <c r="D207" s="1157" t="s">
        <v>671</v>
      </c>
      <c r="E207" s="1158" t="s">
        <v>3692</v>
      </c>
    </row>
    <row r="208" spans="1:5" x14ac:dyDescent="0.2">
      <c r="A208" s="1159">
        <v>202</v>
      </c>
      <c r="B208" s="1160" t="str">
        <f t="shared" si="6"/>
        <v>Circulation d'ECS</v>
      </c>
      <c r="C208" s="1161" t="s">
        <v>2544</v>
      </c>
      <c r="D208" s="1160" t="s">
        <v>649</v>
      </c>
      <c r="E208" s="1158" t="s">
        <v>2</v>
      </c>
    </row>
    <row r="209" spans="1:5" x14ac:dyDescent="0.2">
      <c r="A209" s="1159">
        <v>203</v>
      </c>
      <c r="B209" s="1160" t="str">
        <f t="shared" si="6"/>
        <v>Câble chauffant</v>
      </c>
      <c r="C209" s="1161" t="s">
        <v>2545</v>
      </c>
      <c r="D209" s="1160" t="s">
        <v>3332</v>
      </c>
      <c r="E209" s="1158" t="s">
        <v>1</v>
      </c>
    </row>
    <row r="210" spans="1:5" x14ac:dyDescent="0.2">
      <c r="A210" s="1159">
        <v>204</v>
      </c>
      <c r="B210" s="1160" t="str">
        <f t="shared" si="6"/>
        <v>Graphique PAC</v>
      </c>
      <c r="C210" s="1161" t="s">
        <v>2706</v>
      </c>
      <c r="D210" s="1157" t="s">
        <v>2707</v>
      </c>
      <c r="E210" s="1158" t="s">
        <v>3693</v>
      </c>
    </row>
    <row r="211" spans="1:5" x14ac:dyDescent="0.2">
      <c r="A211" s="1159">
        <v>205</v>
      </c>
      <c r="B211" s="1160" t="str">
        <f t="shared" si="6"/>
        <v>Calcul de la courbe de charge</v>
      </c>
      <c r="C211" s="1161" t="s">
        <v>3895</v>
      </c>
      <c r="D211" s="1157" t="s">
        <v>311</v>
      </c>
      <c r="E211" s="1158" t="s">
        <v>3694</v>
      </c>
    </row>
    <row r="212" spans="1:5" x14ac:dyDescent="0.2">
      <c r="A212" s="1159">
        <v>206</v>
      </c>
      <c r="B212" s="1160" t="str">
        <f t="shared" si="6"/>
        <v>Climat et profil de charge:</v>
      </c>
      <c r="C212" s="1161" t="s">
        <v>2349</v>
      </c>
      <c r="D212" s="1157" t="s">
        <v>1654</v>
      </c>
      <c r="E212" s="1158" t="s">
        <v>3695</v>
      </c>
    </row>
    <row r="213" spans="1:5" x14ac:dyDescent="0.2">
      <c r="A213" s="1159">
        <v>207</v>
      </c>
      <c r="B213" s="1160" t="str">
        <f t="shared" si="6"/>
        <v>Station climatique</v>
      </c>
      <c r="C213" s="1161" t="s">
        <v>1457</v>
      </c>
      <c r="D213" s="1157" t="s">
        <v>303</v>
      </c>
      <c r="E213" s="1158" t="s">
        <v>1516</v>
      </c>
    </row>
    <row r="214" spans="1:5" x14ac:dyDescent="0.2">
      <c r="A214" s="1159">
        <v>208</v>
      </c>
      <c r="B214" s="1160" t="str">
        <f t="shared" ref="B214:B245" si="7">IF(F214&lt;&gt;"",F214,INDEX($C$7:$F$713,A214,$C$2))</f>
        <v>Période chauffage</v>
      </c>
      <c r="C214" s="1161" t="s">
        <v>1458</v>
      </c>
      <c r="D214" s="1157" t="s">
        <v>313</v>
      </c>
      <c r="E214" s="1158" t="s">
        <v>3696</v>
      </c>
    </row>
    <row r="215" spans="1:5" x14ac:dyDescent="0.2">
      <c r="A215" s="1159">
        <v>209</v>
      </c>
      <c r="B215" s="1160" t="str">
        <f t="shared" si="7"/>
        <v>Correction clim.</v>
      </c>
      <c r="C215" s="1161" t="s">
        <v>2313</v>
      </c>
      <c r="D215" s="1157" t="s">
        <v>312</v>
      </c>
      <c r="E215" s="1158" t="s">
        <v>3697</v>
      </c>
    </row>
    <row r="216" spans="1:5" x14ac:dyDescent="0.2">
      <c r="A216" s="1159">
        <v>210</v>
      </c>
      <c r="B216" s="1160" t="str">
        <f t="shared" si="7"/>
        <v xml:space="preserve">Besoins de chaleur </v>
      </c>
      <c r="C216" s="1161" t="s">
        <v>1459</v>
      </c>
      <c r="D216" s="1157" t="s">
        <v>1466</v>
      </c>
      <c r="E216" s="1158" t="s">
        <v>3698</v>
      </c>
    </row>
    <row r="217" spans="1:5" x14ac:dyDescent="0.2">
      <c r="A217" s="1159">
        <v>211</v>
      </c>
      <c r="B217" s="1160" t="str">
        <f t="shared" si="7"/>
        <v>Gains de chaleur</v>
      </c>
      <c r="C217" s="1161" t="s">
        <v>2318</v>
      </c>
      <c r="D217" s="1157" t="s">
        <v>314</v>
      </c>
      <c r="E217" s="1158" t="s">
        <v>3699</v>
      </c>
    </row>
    <row r="218" spans="1:5" x14ac:dyDescent="0.2">
      <c r="A218" s="1159">
        <v>212</v>
      </c>
      <c r="B218" s="1160" t="str">
        <f t="shared" si="7"/>
        <v>"Part solaire:"</v>
      </c>
      <c r="C218" s="1161" t="s">
        <v>3471</v>
      </c>
      <c r="D218" s="1157" t="s">
        <v>3472</v>
      </c>
      <c r="E218" s="1158" t="s">
        <v>3700</v>
      </c>
    </row>
    <row r="219" spans="1:5" x14ac:dyDescent="0.2">
      <c r="A219" s="1159">
        <v>213</v>
      </c>
      <c r="B219" s="1160" t="str">
        <f t="shared" si="7"/>
        <v>P nécessaire ECS</v>
      </c>
      <c r="C219" s="1161" t="s">
        <v>2322</v>
      </c>
      <c r="D219" s="1157" t="s">
        <v>3679</v>
      </c>
      <c r="E219" s="1158" t="s">
        <v>3701</v>
      </c>
    </row>
    <row r="220" spans="1:5" x14ac:dyDescent="0.2">
      <c r="A220" s="1159">
        <v>214</v>
      </c>
      <c r="B220" s="1160" t="str">
        <f t="shared" si="7"/>
        <v>Pompe à chaleur:</v>
      </c>
      <c r="C220" s="1161" t="s">
        <v>2350</v>
      </c>
      <c r="D220" s="1157" t="s">
        <v>3682</v>
      </c>
      <c r="E220" s="1158" t="s">
        <v>3702</v>
      </c>
    </row>
    <row r="221" spans="1:5" x14ac:dyDescent="0.2">
      <c r="A221" s="1159">
        <v>215</v>
      </c>
      <c r="B221" s="1160" t="str">
        <f t="shared" si="7"/>
        <v>Durée marche PAC</v>
      </c>
      <c r="C221" s="1161" t="s">
        <v>2327</v>
      </c>
      <c r="D221" s="1157" t="s">
        <v>315</v>
      </c>
      <c r="E221" s="1158" t="s">
        <v>3703</v>
      </c>
    </row>
    <row r="222" spans="1:5" x14ac:dyDescent="0.2">
      <c r="A222" s="1159">
        <v>216</v>
      </c>
      <c r="B222" s="1160" t="str">
        <f t="shared" si="7"/>
        <v>Besoin d'électricité PAC</v>
      </c>
      <c r="C222" s="1161" t="s">
        <v>2345</v>
      </c>
      <c r="D222" s="1157" t="s">
        <v>1655</v>
      </c>
      <c r="E222" s="1158" t="s">
        <v>3704</v>
      </c>
    </row>
    <row r="223" spans="1:5" x14ac:dyDescent="0.2">
      <c r="A223" s="1159">
        <v>217</v>
      </c>
      <c r="B223" s="1160" t="str">
        <f t="shared" si="7"/>
        <v>Besoin d'énergie:</v>
      </c>
      <c r="C223" s="1161" t="s">
        <v>2348</v>
      </c>
      <c r="D223" s="1157" t="s">
        <v>3225</v>
      </c>
      <c r="E223" s="1158" t="s">
        <v>3705</v>
      </c>
    </row>
    <row r="224" spans="1:5" x14ac:dyDescent="0.2">
      <c r="A224" s="1159">
        <v>218</v>
      </c>
      <c r="B224" s="1160" t="str">
        <f t="shared" si="7"/>
        <v>Besoins de chaleur</v>
      </c>
      <c r="C224" s="1161" t="s">
        <v>1459</v>
      </c>
      <c r="D224" s="1157" t="s">
        <v>1467</v>
      </c>
      <c r="E224" s="1158" t="s">
        <v>3698</v>
      </c>
    </row>
    <row r="225" spans="1:6" x14ac:dyDescent="0.2">
      <c r="A225" s="1159">
        <v>219</v>
      </c>
      <c r="B225" s="1160" t="str">
        <f t="shared" si="7"/>
        <v>Distribution chauffage</v>
      </c>
      <c r="C225" s="1161" t="s">
        <v>2314</v>
      </c>
      <c r="D225" s="1157" t="s">
        <v>316</v>
      </c>
      <c r="E225" s="1158" t="s">
        <v>3706</v>
      </c>
    </row>
    <row r="226" spans="1:6" x14ac:dyDescent="0.2">
      <c r="A226" s="1159">
        <v>220</v>
      </c>
      <c r="B226" s="1160" t="str">
        <f t="shared" si="7"/>
        <v>Besoins chaleur ECS</v>
      </c>
      <c r="C226" s="1161" t="s">
        <v>2316</v>
      </c>
      <c r="D226" s="1157" t="s">
        <v>317</v>
      </c>
      <c r="E226" s="1158" t="s">
        <v>3707</v>
      </c>
    </row>
    <row r="227" spans="1:6" x14ac:dyDescent="0.2">
      <c r="A227" s="1159">
        <v>221</v>
      </c>
      <c r="B227" s="1160" t="str">
        <f t="shared" si="7"/>
        <v>Distribution ECS</v>
      </c>
      <c r="C227" s="1161" t="s">
        <v>2319</v>
      </c>
      <c r="D227" s="1157" t="s">
        <v>318</v>
      </c>
      <c r="E227" s="1158" t="s">
        <v>3708</v>
      </c>
    </row>
    <row r="228" spans="1:6" x14ac:dyDescent="0.2">
      <c r="A228" s="1159">
        <v>222</v>
      </c>
      <c r="B228" s="1160" t="str">
        <f t="shared" si="7"/>
        <v>Besoins totaux:</v>
      </c>
      <c r="C228" s="1161" t="s">
        <v>2320</v>
      </c>
      <c r="D228" s="1157" t="s">
        <v>3674</v>
      </c>
      <c r="E228" s="1158" t="s">
        <v>870</v>
      </c>
    </row>
    <row r="229" spans="1:6" ht="24" x14ac:dyDescent="0.2">
      <c r="A229" s="1159">
        <v>223</v>
      </c>
      <c r="B229" s="1160" t="str">
        <f t="shared" si="7"/>
        <v>Besoin de puissance de chauffage (sans ECS)</v>
      </c>
      <c r="C229" s="1161" t="s">
        <v>2346</v>
      </c>
      <c r="D229" s="1157" t="s">
        <v>1656</v>
      </c>
      <c r="E229" s="1158" t="s">
        <v>3143</v>
      </c>
    </row>
    <row r="230" spans="1:6" x14ac:dyDescent="0.2">
      <c r="A230" s="1159">
        <v>224</v>
      </c>
      <c r="B230" s="1160" t="str">
        <f t="shared" si="7"/>
        <v>Proposition à °C</v>
      </c>
      <c r="C230" s="1161" t="s">
        <v>320</v>
      </c>
      <c r="D230" s="1157" t="s">
        <v>321</v>
      </c>
      <c r="E230" s="1158" t="s">
        <v>322</v>
      </c>
      <c r="F230" s="1140" t="str">
        <f>IF(TaMin&lt;&gt;0,INDEX($C$7:$F$713,A230,$C$2)&amp;TaMin&amp;"°C",INDEX($C$7:$F$713,A230,$C$2)&amp;"-8°C")</f>
        <v>Proposition à °C</v>
      </c>
    </row>
    <row r="231" spans="1:6" x14ac:dyDescent="0.2">
      <c r="A231" s="1159">
        <v>225</v>
      </c>
      <c r="B231" s="1160" t="str">
        <f t="shared" si="7"/>
        <v>P calculée à °C</v>
      </c>
      <c r="C231" s="1161" t="s">
        <v>319</v>
      </c>
      <c r="D231" s="1157" t="s">
        <v>323</v>
      </c>
      <c r="E231" s="1158" t="s">
        <v>324</v>
      </c>
      <c r="F231" s="1140" t="str">
        <f>IF(TaMin&lt;&gt;0,INDEX($C$7:$F$713,A231,$C$2)&amp;TaMin&amp;"°C",INDEX($C$7:$F$713,A231,$C$2)&amp;"-8°C")</f>
        <v>P calculée à °C</v>
      </c>
    </row>
    <row r="232" spans="1:6" x14ac:dyDescent="0.2">
      <c r="A232" s="1159">
        <v>226</v>
      </c>
      <c r="B232" s="1160" t="str">
        <f t="shared" si="7"/>
        <v xml:space="preserve">P calculée à -8°C </v>
      </c>
      <c r="C232" s="1161" t="s">
        <v>2347</v>
      </c>
      <c r="D232" s="1157" t="s">
        <v>1465</v>
      </c>
      <c r="E232" s="1158" t="s">
        <v>3144</v>
      </c>
    </row>
    <row r="233" spans="1:6" ht="24" x14ac:dyDescent="0.2">
      <c r="A233" s="1159">
        <v>227</v>
      </c>
      <c r="B233" s="1160" t="str">
        <f t="shared" si="7"/>
        <v>Couverture des besoins et COP's:</v>
      </c>
      <c r="C233" s="1161" t="s">
        <v>2351</v>
      </c>
      <c r="D233" s="1157" t="s">
        <v>3226</v>
      </c>
      <c r="E233" s="1158" t="s">
        <v>3145</v>
      </c>
    </row>
    <row r="234" spans="1:6" ht="24" x14ac:dyDescent="0.2">
      <c r="A234" s="1159">
        <v>228</v>
      </c>
      <c r="B234" s="1160" t="str">
        <f t="shared" si="7"/>
        <v>Taux couverture solaire (chauf.)</v>
      </c>
      <c r="C234" s="1161" t="s">
        <v>1217</v>
      </c>
      <c r="D234" s="1157" t="s">
        <v>673</v>
      </c>
      <c r="E234" s="1158" t="s">
        <v>3146</v>
      </c>
    </row>
    <row r="235" spans="1:6" ht="24" x14ac:dyDescent="0.2">
      <c r="A235" s="1159">
        <v>229</v>
      </c>
      <c r="B235" s="1160" t="str">
        <f t="shared" si="7"/>
        <v>Taux couverture solaire (ECS)</v>
      </c>
      <c r="C235" s="1161" t="s">
        <v>1218</v>
      </c>
      <c r="D235" s="1157" t="s">
        <v>672</v>
      </c>
      <c r="E235" s="1158" t="s">
        <v>3147</v>
      </c>
    </row>
    <row r="236" spans="1:6" x14ac:dyDescent="0.2">
      <c r="A236" s="1159">
        <v>230</v>
      </c>
      <c r="B236" s="1160" t="str">
        <f t="shared" si="7"/>
        <v>Taux couverture PAC (chauf)</v>
      </c>
      <c r="C236" s="1161" t="s">
        <v>2324</v>
      </c>
      <c r="D236" s="1157" t="s">
        <v>3675</v>
      </c>
      <c r="E236" s="1158" t="s">
        <v>3148</v>
      </c>
    </row>
    <row r="237" spans="1:6" x14ac:dyDescent="0.2">
      <c r="A237" s="1159">
        <v>231</v>
      </c>
      <c r="B237" s="1160" t="str">
        <f t="shared" si="7"/>
        <v>Taux couverture PAC (ECS)</v>
      </c>
      <c r="C237" s="1161" t="s">
        <v>2325</v>
      </c>
      <c r="D237" s="1157" t="s">
        <v>3676</v>
      </c>
      <c r="E237" s="1158" t="s">
        <v>2096</v>
      </c>
    </row>
    <row r="238" spans="1:6" x14ac:dyDescent="0.2">
      <c r="A238" s="1159">
        <v>232</v>
      </c>
      <c r="B238" s="1160" t="str">
        <f t="shared" si="7"/>
        <v>COPA PAC (chauffage)</v>
      </c>
      <c r="C238" s="1161" t="s">
        <v>2326</v>
      </c>
      <c r="D238" s="1157" t="s">
        <v>3677</v>
      </c>
      <c r="E238" s="1158" t="s">
        <v>2097</v>
      </c>
    </row>
    <row r="239" spans="1:6" x14ac:dyDescent="0.2">
      <c r="A239" s="1159">
        <v>233</v>
      </c>
      <c r="B239" s="1160" t="str">
        <f t="shared" si="7"/>
        <v>COPA PAC (ECS)</v>
      </c>
      <c r="C239" s="1161" t="s">
        <v>2328</v>
      </c>
      <c r="D239" s="1157" t="s">
        <v>3678</v>
      </c>
      <c r="E239" s="1158" t="s">
        <v>2098</v>
      </c>
    </row>
    <row r="240" spans="1:6" x14ac:dyDescent="0.2">
      <c r="A240" s="1159">
        <v>234</v>
      </c>
      <c r="B240" s="1160" t="str">
        <f t="shared" si="7"/>
        <v>PAC pour chauffage:</v>
      </c>
      <c r="C240" s="1161" t="s">
        <v>2312</v>
      </c>
      <c r="D240" s="1157" t="s">
        <v>1657</v>
      </c>
      <c r="E240" s="1158" t="s">
        <v>2099</v>
      </c>
    </row>
    <row r="241" spans="1:5" ht="13.15" customHeight="1" x14ac:dyDescent="0.2">
      <c r="A241" s="1159">
        <v>235</v>
      </c>
      <c r="B241" s="1160" t="str">
        <f t="shared" si="7"/>
        <v>PAC pour ECS:</v>
      </c>
      <c r="C241" s="1161" t="s">
        <v>2315</v>
      </c>
      <c r="D241" s="1157" t="s">
        <v>1658</v>
      </c>
      <c r="E241" s="1158" t="s">
        <v>2100</v>
      </c>
    </row>
    <row r="242" spans="1:5" ht="24" x14ac:dyDescent="0.2">
      <c r="A242" s="1159">
        <v>236</v>
      </c>
      <c r="B242" s="1160" t="str">
        <f t="shared" si="7"/>
        <v>Chauffage d'appoint ECS:</v>
      </c>
      <c r="C242" s="1161" t="s">
        <v>2317</v>
      </c>
      <c r="D242" s="1157" t="s">
        <v>68</v>
      </c>
      <c r="E242" s="1158" t="s">
        <v>2101</v>
      </c>
    </row>
    <row r="243" spans="1:5" x14ac:dyDescent="0.2">
      <c r="A243" s="1159">
        <v>237</v>
      </c>
      <c r="B243" s="1160" t="str">
        <f t="shared" si="7"/>
        <v>Appoint au chauffage:</v>
      </c>
      <c r="C243" s="1161" t="s">
        <v>2344</v>
      </c>
      <c r="D243" s="1157" t="s">
        <v>69</v>
      </c>
      <c r="E243" s="1158" t="s">
        <v>2102</v>
      </c>
    </row>
    <row r="244" spans="1:5" x14ac:dyDescent="0.2">
      <c r="A244" s="1159">
        <v>238</v>
      </c>
      <c r="B244" s="1160" t="str">
        <f t="shared" si="7"/>
        <v>Pertes:</v>
      </c>
      <c r="C244" s="1161" t="s">
        <v>2321</v>
      </c>
      <c r="D244" s="1157" t="s">
        <v>70</v>
      </c>
      <c r="E244" s="1158" t="s">
        <v>2103</v>
      </c>
    </row>
    <row r="245" spans="1:5" x14ac:dyDescent="0.2">
      <c r="A245" s="1159">
        <v>239</v>
      </c>
      <c r="B245" s="1160" t="str">
        <f t="shared" si="7"/>
        <v>Couverture des besoins:</v>
      </c>
      <c r="C245" s="1161" t="s">
        <v>2323</v>
      </c>
      <c r="D245" s="1157" t="s">
        <v>71</v>
      </c>
      <c r="E245" s="1158" t="s">
        <v>2104</v>
      </c>
    </row>
    <row r="246" spans="1:5" ht="24" x14ac:dyDescent="0.2">
      <c r="A246" s="1159">
        <v>240</v>
      </c>
      <c r="B246" s="1160" t="str">
        <f t="shared" ref="B246:B277" si="8">IF(F246&lt;&gt;"",F246,INDEX($C$7:$F$713,A246,$C$2))</f>
        <v>Temp extérieure
Ta</v>
      </c>
      <c r="C246" s="1161" t="s">
        <v>1109</v>
      </c>
      <c r="D246" s="1157" t="s">
        <v>1108</v>
      </c>
      <c r="E246" s="1158" t="s">
        <v>2709</v>
      </c>
    </row>
    <row r="247" spans="1:5" ht="24" x14ac:dyDescent="0.2">
      <c r="A247" s="1159">
        <v>241</v>
      </c>
      <c r="B247" s="1160" t="str">
        <f t="shared" si="8"/>
        <v>Puissance
nécessaire</v>
      </c>
      <c r="C247" s="1161" t="s">
        <v>1110</v>
      </c>
      <c r="D247" s="1157" t="s">
        <v>1111</v>
      </c>
      <c r="E247" s="1158" t="s">
        <v>2710</v>
      </c>
    </row>
    <row r="248" spans="1:5" ht="24" x14ac:dyDescent="0.2">
      <c r="A248" s="1159">
        <v>242</v>
      </c>
      <c r="B248" s="1160" t="str">
        <f t="shared" si="8"/>
        <v>Distribution
BIN</v>
      </c>
      <c r="C248" s="1161" t="s">
        <v>1113</v>
      </c>
      <c r="D248" s="1157" t="s">
        <v>1112</v>
      </c>
      <c r="E248" s="1158" t="s">
        <v>1727</v>
      </c>
    </row>
    <row r="249" spans="1:5" ht="24" x14ac:dyDescent="0.2">
      <c r="A249" s="1159">
        <v>243</v>
      </c>
      <c r="B249" s="1160" t="str">
        <f t="shared" si="8"/>
        <v>Courbe de charge
sans gains de chaleur</v>
      </c>
      <c r="C249" s="1161" t="s">
        <v>1114</v>
      </c>
      <c r="D249" s="1157" t="s">
        <v>1115</v>
      </c>
      <c r="E249" s="1158" t="s">
        <v>1728</v>
      </c>
    </row>
    <row r="250" spans="1:5" ht="24" x14ac:dyDescent="0.2">
      <c r="A250" s="1159">
        <v>244</v>
      </c>
      <c r="B250" s="1160" t="str">
        <f t="shared" si="8"/>
        <v>Fréquence
cumulée</v>
      </c>
      <c r="C250" s="1161" t="s">
        <v>1116</v>
      </c>
      <c r="D250" s="1157" t="s">
        <v>1117</v>
      </c>
      <c r="E250" s="1158" t="s">
        <v>1729</v>
      </c>
    </row>
    <row r="251" spans="1:5" ht="24" x14ac:dyDescent="0.2">
      <c r="A251" s="1159">
        <v>245</v>
      </c>
      <c r="B251" s="1160" t="str">
        <f t="shared" si="8"/>
        <v>Courbe de charge
avec gains chaleur</v>
      </c>
      <c r="C251" s="1161" t="s">
        <v>1712</v>
      </c>
      <c r="D251" s="1157" t="s">
        <v>1713</v>
      </c>
      <c r="E251" s="1158" t="s">
        <v>1730</v>
      </c>
    </row>
    <row r="252" spans="1:5" ht="24" x14ac:dyDescent="0.2">
      <c r="A252" s="1159">
        <v>246</v>
      </c>
      <c r="B252" s="1160" t="str">
        <f t="shared" si="8"/>
        <v>Apport chaleur
PAC</v>
      </c>
      <c r="C252" s="1161" t="s">
        <v>1714</v>
      </c>
      <c r="D252" s="1157" t="s">
        <v>1715</v>
      </c>
      <c r="E252" s="1158" t="s">
        <v>1731</v>
      </c>
    </row>
    <row r="253" spans="1:5" ht="24" x14ac:dyDescent="0.2">
      <c r="A253" s="1159">
        <v>247</v>
      </c>
      <c r="B253" s="1160" t="str">
        <f t="shared" si="8"/>
        <v>PAC + chauffage d'appoint</v>
      </c>
      <c r="C253" s="1161" t="s">
        <v>1716</v>
      </c>
      <c r="D253" s="1157" t="s">
        <v>3227</v>
      </c>
      <c r="E253" s="1158" t="s">
        <v>2711</v>
      </c>
    </row>
    <row r="254" spans="1:5" x14ac:dyDescent="0.2">
      <c r="A254" s="1159">
        <v>248</v>
      </c>
      <c r="B254" s="1160" t="str">
        <f t="shared" si="8"/>
        <v>Abréviations:</v>
      </c>
      <c r="C254" s="1161" t="s">
        <v>2337</v>
      </c>
      <c r="D254" s="1157" t="s">
        <v>1717</v>
      </c>
      <c r="E254" s="1158" t="s">
        <v>2712</v>
      </c>
    </row>
    <row r="255" spans="1:5" ht="69" customHeight="1" x14ac:dyDescent="0.2">
      <c r="A255" s="1159">
        <v>249</v>
      </c>
      <c r="B255" s="1160" t="str">
        <f t="shared" si="8"/>
        <v>PAC = pompe à chaleur; ECS = eau chaude sanitaire;  h = rendement;  COPA = coefficient de perf annuel (sans chauffage d'appoint ni résistance électrique)</v>
      </c>
      <c r="C255" s="1161" t="s">
        <v>1718</v>
      </c>
      <c r="D255" s="1157" t="s">
        <v>1719</v>
      </c>
      <c r="E255" s="1158" t="s">
        <v>2708</v>
      </c>
    </row>
    <row r="256" spans="1:5" ht="24" x14ac:dyDescent="0.2">
      <c r="A256" s="1159">
        <v>250</v>
      </c>
      <c r="B256" s="1160" t="str">
        <f t="shared" si="8"/>
        <v xml:space="preserve"> Besoins de chaleur sans les gains de chaleur</v>
      </c>
      <c r="C256" s="1161" t="s">
        <v>1736</v>
      </c>
      <c r="D256" s="1157" t="s">
        <v>3228</v>
      </c>
      <c r="E256" s="1158" t="s">
        <v>2719</v>
      </c>
    </row>
    <row r="257" spans="1:5" ht="24" x14ac:dyDescent="0.2">
      <c r="A257" s="1159">
        <v>251</v>
      </c>
      <c r="B257" s="1160" t="str">
        <f t="shared" si="8"/>
        <v>Couverture par les capteurs solaires</v>
      </c>
      <c r="C257" s="1161" t="s">
        <v>1735</v>
      </c>
      <c r="D257" s="1157" t="s">
        <v>3229</v>
      </c>
      <c r="E257" s="1158" t="s">
        <v>2720</v>
      </c>
    </row>
    <row r="258" spans="1:5" ht="24" x14ac:dyDescent="0.2">
      <c r="A258" s="1159">
        <v>252</v>
      </c>
      <c r="B258" s="1160" t="str">
        <f t="shared" si="8"/>
        <v xml:space="preserve"> Besoins de chaleur sans capteurs solaires</v>
      </c>
      <c r="C258" s="1161" t="s">
        <v>1734</v>
      </c>
      <c r="D258" s="1157" t="s">
        <v>674</v>
      </c>
      <c r="E258" s="1158" t="s">
        <v>2721</v>
      </c>
    </row>
    <row r="259" spans="1:5" x14ac:dyDescent="0.2">
      <c r="A259" s="1159">
        <v>253</v>
      </c>
      <c r="B259" s="1160" t="str">
        <f t="shared" si="8"/>
        <v xml:space="preserve"> Chauffage d'appoint</v>
      </c>
      <c r="C259" s="1161" t="s">
        <v>1732</v>
      </c>
      <c r="D259" s="1157" t="s">
        <v>1733</v>
      </c>
      <c r="E259" s="1158" t="s">
        <v>2722</v>
      </c>
    </row>
    <row r="260" spans="1:5" ht="36" x14ac:dyDescent="0.2">
      <c r="A260" s="1159">
        <v>254</v>
      </c>
      <c r="B260" s="1160" t="str">
        <f t="shared" si="8"/>
        <v>Charge de base PAC, y c. corps de chauffe ECS</v>
      </c>
      <c r="C260" s="1161" t="s">
        <v>1726</v>
      </c>
      <c r="D260" s="1157" t="s">
        <v>72</v>
      </c>
      <c r="E260" s="1158" t="s">
        <v>2723</v>
      </c>
    </row>
    <row r="261" spans="1:5" x14ac:dyDescent="0.2">
      <c r="A261" s="1159">
        <v>255</v>
      </c>
      <c r="B261" s="1160" t="str">
        <f t="shared" si="8"/>
        <v>Fréquence cumulée</v>
      </c>
      <c r="C261" s="1161" t="s">
        <v>1720</v>
      </c>
      <c r="D261" s="1157" t="s">
        <v>1721</v>
      </c>
      <c r="E261" s="1158" t="s">
        <v>1729</v>
      </c>
    </row>
    <row r="262" spans="1:5" ht="24" x14ac:dyDescent="0.2">
      <c r="A262" s="1159">
        <v>256</v>
      </c>
      <c r="B262" s="1160" t="str">
        <f t="shared" si="8"/>
        <v>Besoin de puissance max [kW]</v>
      </c>
      <c r="C262" s="1161" t="s">
        <v>1722</v>
      </c>
      <c r="D262" s="1157" t="s">
        <v>1723</v>
      </c>
      <c r="E262" s="1158" t="s">
        <v>3651</v>
      </c>
    </row>
    <row r="263" spans="1:5" x14ac:dyDescent="0.2">
      <c r="A263" s="1159">
        <v>257</v>
      </c>
      <c r="B263" s="1160" t="str">
        <f t="shared" si="8"/>
        <v>Heures annuelles</v>
      </c>
      <c r="C263" s="1161" t="s">
        <v>1724</v>
      </c>
      <c r="D263" s="1157" t="s">
        <v>1725</v>
      </c>
      <c r="E263" s="1158" t="s">
        <v>3652</v>
      </c>
    </row>
    <row r="264" spans="1:5" x14ac:dyDescent="0.2">
      <c r="A264" s="1159">
        <v>258</v>
      </c>
      <c r="B264" s="1160" t="str">
        <f t="shared" si="8"/>
        <v>une vitesse</v>
      </c>
      <c r="C264" s="1161" t="s">
        <v>2031</v>
      </c>
      <c r="D264" s="1160" t="s">
        <v>2716</v>
      </c>
      <c r="E264" s="1158" t="s">
        <v>3</v>
      </c>
    </row>
    <row r="265" spans="1:5" x14ac:dyDescent="0.2">
      <c r="A265" s="1159">
        <v>259</v>
      </c>
      <c r="B265" s="1160" t="str">
        <f t="shared" si="8"/>
        <v>2 vitesses</v>
      </c>
      <c r="C265" s="1161" t="s">
        <v>2032</v>
      </c>
      <c r="D265" s="1160" t="s">
        <v>945</v>
      </c>
      <c r="E265" s="1158" t="s">
        <v>4</v>
      </c>
    </row>
    <row r="266" spans="1:5" x14ac:dyDescent="0.2">
      <c r="A266" s="1159">
        <v>260</v>
      </c>
      <c r="B266" s="1160" t="str">
        <f t="shared" si="8"/>
        <v>Plusieurs vitesses</v>
      </c>
      <c r="C266" s="1161" t="s">
        <v>1593</v>
      </c>
      <c r="D266" s="1160" t="s">
        <v>946</v>
      </c>
      <c r="E266" s="1158" t="s">
        <v>8</v>
      </c>
    </row>
    <row r="267" spans="1:5" x14ac:dyDescent="0.2">
      <c r="A267" s="1159">
        <v>261</v>
      </c>
      <c r="B267" s="1160" t="str">
        <f t="shared" si="8"/>
        <v>vitesse variable</v>
      </c>
      <c r="C267" s="1161" t="s">
        <v>1803</v>
      </c>
      <c r="D267" s="1160" t="s">
        <v>3333</v>
      </c>
      <c r="E267" s="1158" t="s">
        <v>9</v>
      </c>
    </row>
    <row r="268" spans="1:5" ht="27.6" customHeight="1" x14ac:dyDescent="0.2">
      <c r="A268" s="1159">
        <v>262</v>
      </c>
      <c r="B268" s="1160" t="str">
        <f t="shared" si="8"/>
        <v>PAC sur air extrait sur installation de ventilation sans récupération de chaleur</v>
      </c>
      <c r="C268" s="1161" t="s">
        <v>1857</v>
      </c>
      <c r="D268" s="1157" t="s">
        <v>3334</v>
      </c>
      <c r="E268" s="1158" t="s">
        <v>10</v>
      </c>
    </row>
    <row r="269" spans="1:5" x14ac:dyDescent="0.2">
      <c r="A269" s="1159">
        <v>263</v>
      </c>
      <c r="B269" s="1160" t="str">
        <f t="shared" si="8"/>
        <v xml:space="preserve">valeur calculée: </v>
      </c>
      <c r="C269" s="1161" t="s">
        <v>1814</v>
      </c>
      <c r="D269" s="1157" t="s">
        <v>1594</v>
      </c>
      <c r="E269" s="1158" t="s">
        <v>1595</v>
      </c>
    </row>
    <row r="270" spans="1:5" x14ac:dyDescent="0.2">
      <c r="A270" s="1159">
        <v>264</v>
      </c>
      <c r="B270" s="1160" t="str">
        <f t="shared" si="8"/>
        <v>pas d'installation solaire</v>
      </c>
      <c r="C270" s="1161" t="s">
        <v>2427</v>
      </c>
      <c r="D270" s="1157" t="s">
        <v>3335</v>
      </c>
      <c r="E270" s="1158" t="s">
        <v>11</v>
      </c>
    </row>
    <row r="271" spans="1:5" ht="27.6" customHeight="1" x14ac:dyDescent="0.2">
      <c r="A271" s="1159">
        <v>265</v>
      </c>
      <c r="B271" s="1160" t="str">
        <f t="shared" si="8"/>
        <v>Chauffage solaire de l'ECS</v>
      </c>
      <c r="C271" s="1161" t="s">
        <v>2429</v>
      </c>
      <c r="D271" s="1157" t="s">
        <v>947</v>
      </c>
      <c r="E271" s="1158" t="s">
        <v>2428</v>
      </c>
    </row>
    <row r="272" spans="1:5" ht="35.450000000000003" customHeight="1" x14ac:dyDescent="0.2">
      <c r="A272" s="1159">
        <v>266</v>
      </c>
      <c r="B272" s="1160" t="str">
        <f t="shared" si="8"/>
        <v>Eau chaude sanitaire ECS + chauffage</v>
      </c>
      <c r="C272" s="1161" t="s">
        <v>2437</v>
      </c>
      <c r="D272" s="1157" t="s">
        <v>3317</v>
      </c>
      <c r="E272" s="1158" t="s">
        <v>2430</v>
      </c>
    </row>
    <row r="273" spans="1:5" x14ac:dyDescent="0.2">
      <c r="A273" s="1159">
        <v>267</v>
      </c>
      <c r="B273" s="1160" t="str">
        <f t="shared" si="8"/>
        <v>(calcul externe)</v>
      </c>
      <c r="C273" s="1161" t="s">
        <v>2433</v>
      </c>
      <c r="D273" s="1157" t="s">
        <v>2431</v>
      </c>
      <c r="E273" s="1158" t="s">
        <v>2432</v>
      </c>
    </row>
    <row r="274" spans="1:5" x14ac:dyDescent="0.2">
      <c r="A274" s="1159">
        <v>268</v>
      </c>
      <c r="B274" s="1160" t="str">
        <f t="shared" si="8"/>
        <v>Non disponibles</v>
      </c>
      <c r="C274" s="1161" t="s">
        <v>2434</v>
      </c>
      <c r="D274" s="1157" t="s">
        <v>3711</v>
      </c>
      <c r="E274" s="1158" t="s">
        <v>3142</v>
      </c>
    </row>
    <row r="275" spans="1:5" x14ac:dyDescent="0.2">
      <c r="A275" s="1159">
        <v>269</v>
      </c>
      <c r="B275" s="1160" t="str">
        <f t="shared" si="8"/>
        <v>Spécifications du collecteur</v>
      </c>
      <c r="C275" s="1161" t="s">
        <v>2435</v>
      </c>
      <c r="D275" s="1160" t="s">
        <v>3336</v>
      </c>
      <c r="E275" s="1158" t="s">
        <v>12</v>
      </c>
    </row>
    <row r="276" spans="1:5" ht="27" customHeight="1" x14ac:dyDescent="0.2">
      <c r="A276" s="1159">
        <v>270</v>
      </c>
      <c r="B276" s="1160" t="str">
        <f t="shared" si="8"/>
        <v>Courbe de chauffe de la PAC (et pas celle des consommateurs de chauffage):</v>
      </c>
      <c r="C276" s="1161" t="s">
        <v>118</v>
      </c>
      <c r="D276" s="1160" t="s">
        <v>3337</v>
      </c>
      <c r="E276" s="1158" t="s">
        <v>13</v>
      </c>
    </row>
    <row r="277" spans="1:5" ht="24" x14ac:dyDescent="0.2">
      <c r="A277" s="1159">
        <v>271</v>
      </c>
      <c r="B277" s="1160" t="str">
        <f t="shared" si="8"/>
        <v>Températures de départ et de retour de la PAC [°C]</v>
      </c>
      <c r="C277" s="1161" t="s">
        <v>2438</v>
      </c>
      <c r="D277" s="1160" t="s">
        <v>3318</v>
      </c>
      <c r="E277" s="1158" t="s">
        <v>14</v>
      </c>
    </row>
    <row r="278" spans="1:5" ht="24" x14ac:dyDescent="0.2">
      <c r="A278" s="1159">
        <v>272</v>
      </c>
      <c r="B278" s="1160" t="str">
        <f t="shared" ref="B278:B285" si="9">IF(F278&lt;&gt;"",F278,INDEX($C$7:$F$713,A278,$C$2))</f>
        <v>Température extérieure Ta [°C]</v>
      </c>
      <c r="C278" s="1161" t="s">
        <v>2439</v>
      </c>
      <c r="D278" s="1157" t="s">
        <v>3319</v>
      </c>
      <c r="E278" s="1158" t="s">
        <v>15</v>
      </c>
    </row>
    <row r="279" spans="1:5" ht="36" x14ac:dyDescent="0.2">
      <c r="A279" s="1159">
        <v>273</v>
      </c>
      <c r="B279" s="1160" t="str">
        <f t="shared" si="9"/>
        <v>Accumulateur combiné chauffage et ECS selon STASCH</v>
      </c>
      <c r="C279" s="1161" t="s">
        <v>1610</v>
      </c>
      <c r="D279" s="1160" t="s">
        <v>2605</v>
      </c>
      <c r="E279" s="1158" t="s">
        <v>59</v>
      </c>
    </row>
    <row r="280" spans="1:5" ht="28.15" customHeight="1" x14ac:dyDescent="0.2">
      <c r="A280" s="1159">
        <v>274</v>
      </c>
      <c r="B280" s="1160" t="str">
        <f t="shared" si="9"/>
        <v>Accuumulateur combiné - 1 prise de retour Accu-PAC</v>
      </c>
      <c r="C280" s="1161" t="s">
        <v>79</v>
      </c>
      <c r="D280" s="1160" t="s">
        <v>1286</v>
      </c>
      <c r="E280" s="1158" t="s">
        <v>48</v>
      </c>
    </row>
    <row r="281" spans="1:5" ht="28.15" customHeight="1" x14ac:dyDescent="0.2">
      <c r="A281" s="1159">
        <v>275</v>
      </c>
      <c r="B281" s="1160" t="str">
        <f t="shared" si="9"/>
        <v>Accuumulateur combiné - 2 prise de retour Accu-PAC</v>
      </c>
      <c r="C281" s="1161" t="s">
        <v>80</v>
      </c>
      <c r="D281" s="1160" t="s">
        <v>1287</v>
      </c>
      <c r="E281" s="1158" t="s">
        <v>49</v>
      </c>
    </row>
    <row r="282" spans="1:5" x14ac:dyDescent="0.2">
      <c r="A282" s="1159">
        <v>276</v>
      </c>
      <c r="B282" s="1160" t="str">
        <f t="shared" si="9"/>
        <v xml:space="preserve">valable jusqu'à </v>
      </c>
      <c r="C282" s="1161" t="s">
        <v>1698</v>
      </c>
      <c r="D282" s="1160" t="s">
        <v>4576</v>
      </c>
      <c r="E282" s="1158" t="s">
        <v>4577</v>
      </c>
    </row>
    <row r="283" spans="1:5" ht="13.15" customHeight="1" x14ac:dyDescent="0.2">
      <c r="A283" s="1159">
        <v>277</v>
      </c>
      <c r="B283" s="1160" t="str">
        <f t="shared" si="9"/>
        <v>Feuille de calcul PACesti</v>
      </c>
      <c r="C283" s="1161" t="s">
        <v>709</v>
      </c>
      <c r="D283" s="1157" t="s">
        <v>3320</v>
      </c>
      <c r="E283" s="1158" t="s">
        <v>16</v>
      </c>
    </row>
    <row r="284" spans="1:5" x14ac:dyDescent="0.2">
      <c r="A284" s="1159">
        <v>278</v>
      </c>
      <c r="B284" s="1160" t="str">
        <f t="shared" si="9"/>
        <v>Entrées en bas</v>
      </c>
      <c r="C284" s="1161" t="s">
        <v>2539</v>
      </c>
      <c r="D284" s="1157" t="s">
        <v>56</v>
      </c>
      <c r="E284" s="1158" t="s">
        <v>58</v>
      </c>
    </row>
    <row r="285" spans="1:5" x14ac:dyDescent="0.2">
      <c r="A285" s="1159">
        <v>279</v>
      </c>
      <c r="B285" s="1160" t="str">
        <f t="shared" si="9"/>
        <v>Liste des PAC</v>
      </c>
      <c r="C285" s="1161" t="s">
        <v>1625</v>
      </c>
      <c r="D285" s="1157" t="s">
        <v>1289</v>
      </c>
      <c r="E285" s="1158" t="str">
        <f>"Elenco dei PdC"</f>
        <v>Elenco dei PdC</v>
      </c>
    </row>
    <row r="286" spans="1:5" x14ac:dyDescent="0.2">
      <c r="A286" s="1159">
        <v>280</v>
      </c>
      <c r="B286" s="1160" t="str">
        <f t="shared" ref="B286:B295" si="10">IF(F286&lt;&gt;"",F286,INDEX($C$7:$F$713,A286,$C$2))</f>
        <v>Entrées dans "Spez"</v>
      </c>
      <c r="C286" s="1161" t="s">
        <v>2540</v>
      </c>
      <c r="D286" s="1157" t="s">
        <v>55</v>
      </c>
      <c r="E286" s="1158" t="s">
        <v>57</v>
      </c>
    </row>
    <row r="287" spans="1:5" ht="36" x14ac:dyDescent="0.2">
      <c r="A287" s="1159">
        <v>281</v>
      </c>
      <c r="B287" s="1160" t="str">
        <f t="shared" si="10"/>
        <v>Installation bivalente fossile alternative</v>
      </c>
      <c r="C287" s="1161" t="s">
        <v>2659</v>
      </c>
      <c r="D287" s="1160" t="s">
        <v>2660</v>
      </c>
      <c r="E287" s="1158" t="s">
        <v>2661</v>
      </c>
    </row>
    <row r="288" spans="1:5" x14ac:dyDescent="0.2">
      <c r="A288" s="1159">
        <v>282</v>
      </c>
      <c r="B288" s="1160">
        <f t="shared" si="10"/>
        <v>0</v>
      </c>
      <c r="C288" s="1166" t="s">
        <v>1364</v>
      </c>
      <c r="D288" s="1157"/>
      <c r="E288" s="1167"/>
    </row>
    <row r="289" spans="1:5" ht="24" x14ac:dyDescent="0.2">
      <c r="A289" s="1159">
        <v>283</v>
      </c>
      <c r="B289" s="1160" t="str">
        <f t="shared" si="10"/>
        <v>PAC, spécifications individuelles</v>
      </c>
      <c r="C289" s="1161" t="s">
        <v>1365</v>
      </c>
      <c r="D289" s="1160" t="s">
        <v>3321</v>
      </c>
      <c r="E289" s="1158" t="s">
        <v>17</v>
      </c>
    </row>
    <row r="290" spans="1:5" x14ac:dyDescent="0.2">
      <c r="A290" s="1159">
        <v>284</v>
      </c>
      <c r="B290" s="1160" t="str">
        <f t="shared" si="10"/>
        <v>Données de la PAC</v>
      </c>
      <c r="C290" s="1161" t="s">
        <v>1366</v>
      </c>
      <c r="D290" s="1160" t="s">
        <v>3322</v>
      </c>
      <c r="E290" s="1158" t="s">
        <v>18</v>
      </c>
    </row>
    <row r="291" spans="1:5" ht="28.15" customHeight="1" x14ac:dyDescent="0.2">
      <c r="A291" s="1159">
        <v>285</v>
      </c>
      <c r="B291" s="1160" t="str">
        <f t="shared" si="10"/>
        <v>Données de puissance de la PAC</v>
      </c>
      <c r="C291" s="1161" t="s">
        <v>1367</v>
      </c>
      <c r="D291" s="1157" t="s">
        <v>3323</v>
      </c>
      <c r="E291" s="1167" t="s">
        <v>19</v>
      </c>
    </row>
    <row r="292" spans="1:5" x14ac:dyDescent="0.2">
      <c r="A292" s="1159">
        <v>286</v>
      </c>
      <c r="B292" s="1160" t="str">
        <f t="shared" si="10"/>
        <v>Pompes:</v>
      </c>
      <c r="C292" s="1161" t="s">
        <v>1810</v>
      </c>
      <c r="D292" s="1157" t="s">
        <v>2440</v>
      </c>
      <c r="E292" s="1167" t="s">
        <v>2441</v>
      </c>
    </row>
    <row r="293" spans="1:5" x14ac:dyDescent="0.2">
      <c r="A293" s="1159">
        <v>287</v>
      </c>
      <c r="B293" s="1160" t="str">
        <f t="shared" si="10"/>
        <v>Consenseur</v>
      </c>
      <c r="C293" s="1161" t="s">
        <v>2557</v>
      </c>
      <c r="D293" s="1157" t="s">
        <v>3324</v>
      </c>
      <c r="E293" s="1167" t="s">
        <v>20</v>
      </c>
    </row>
    <row r="294" spans="1:5" x14ac:dyDescent="0.2">
      <c r="A294" s="1159">
        <v>288</v>
      </c>
      <c r="B294" s="1160" t="str">
        <f t="shared" si="10"/>
        <v>Evaporateur</v>
      </c>
      <c r="C294" s="1161" t="s">
        <v>2442</v>
      </c>
      <c r="D294" s="1157" t="s">
        <v>2444</v>
      </c>
      <c r="E294" s="1167" t="s">
        <v>2445</v>
      </c>
    </row>
    <row r="295" spans="1:5" x14ac:dyDescent="0.2">
      <c r="A295" s="1159">
        <v>289</v>
      </c>
      <c r="B295" s="1160" t="str">
        <f t="shared" si="10"/>
        <v>Ventilateur</v>
      </c>
      <c r="C295" s="1161" t="s">
        <v>2443</v>
      </c>
      <c r="D295" s="1157" t="s">
        <v>2115</v>
      </c>
      <c r="E295" s="1167" t="s">
        <v>2446</v>
      </c>
    </row>
    <row r="296" spans="1:5" ht="39.6" customHeight="1" x14ac:dyDescent="0.2">
      <c r="A296" s="1159">
        <v>290</v>
      </c>
      <c r="B296" s="1160" t="str">
        <f t="shared" ref="B296:B341" si="11">IF(F296&lt;&gt;"",F296,INDEX($C$7:$F$713,A296,$C$2))</f>
        <v>Données introduites en ordre croissant selon la température de la source</v>
      </c>
      <c r="C296" s="1161" t="s">
        <v>1816</v>
      </c>
      <c r="D296" s="1157" t="s">
        <v>3338</v>
      </c>
      <c r="E296" s="1167" t="s">
        <v>22</v>
      </c>
    </row>
    <row r="297" spans="1:5" x14ac:dyDescent="0.2">
      <c r="A297" s="1159">
        <v>291</v>
      </c>
      <c r="B297" s="1160" t="str">
        <f t="shared" si="11"/>
        <v>T Dep</v>
      </c>
      <c r="C297" s="1161" t="s">
        <v>1368</v>
      </c>
      <c r="D297" s="1157" t="s">
        <v>510</v>
      </c>
      <c r="E297" s="1168" t="s">
        <v>795</v>
      </c>
    </row>
    <row r="298" spans="1:5" x14ac:dyDescent="0.2">
      <c r="A298" s="1159">
        <v>292</v>
      </c>
      <c r="B298" s="1160" t="str">
        <f t="shared" si="11"/>
        <v>T Ret</v>
      </c>
      <c r="C298" s="1161" t="s">
        <v>2116</v>
      </c>
      <c r="D298" s="1157" t="s">
        <v>513</v>
      </c>
      <c r="E298" s="1168" t="s">
        <v>796</v>
      </c>
    </row>
    <row r="299" spans="1:5" x14ac:dyDescent="0.2">
      <c r="A299" s="1159">
        <v>293</v>
      </c>
      <c r="B299" s="1160" t="str">
        <f t="shared" si="11"/>
        <v>Puissance therm.</v>
      </c>
      <c r="C299" s="1161" t="s">
        <v>1369</v>
      </c>
      <c r="D299" s="1157" t="s">
        <v>2117</v>
      </c>
      <c r="E299" s="1158" t="s">
        <v>2118</v>
      </c>
    </row>
    <row r="300" spans="1:5" x14ac:dyDescent="0.2">
      <c r="A300" s="1159">
        <v>294</v>
      </c>
      <c r="B300" s="1160" t="str">
        <f t="shared" si="11"/>
        <v>COP</v>
      </c>
      <c r="C300" s="1161" t="s">
        <v>774</v>
      </c>
      <c r="D300" s="1160" t="s">
        <v>774</v>
      </c>
      <c r="E300" s="1158" t="s">
        <v>774</v>
      </c>
    </row>
    <row r="301" spans="1:5" ht="24" x14ac:dyDescent="0.2">
      <c r="A301" s="1159">
        <v>295</v>
      </c>
      <c r="B301" s="1160" t="str">
        <f t="shared" si="11"/>
        <v>Température de la source de chaleur:</v>
      </c>
      <c r="C301" s="1161" t="s">
        <v>1370</v>
      </c>
      <c r="D301" s="1160" t="s">
        <v>1899</v>
      </c>
      <c r="E301" s="1158" t="s">
        <v>23</v>
      </c>
    </row>
    <row r="302" spans="1:5" x14ac:dyDescent="0.2">
      <c r="A302" s="1159">
        <v>296</v>
      </c>
      <c r="B302" s="1160" t="str">
        <f t="shared" si="11"/>
        <v>Pompe de la source</v>
      </c>
      <c r="C302" s="1161" t="s">
        <v>2022</v>
      </c>
      <c r="D302" s="1157" t="s">
        <v>1268</v>
      </c>
      <c r="E302" s="1167" t="s">
        <v>51</v>
      </c>
    </row>
    <row r="303" spans="1:5" x14ac:dyDescent="0.2">
      <c r="A303" s="1159">
        <v>297</v>
      </c>
      <c r="B303" s="1160" t="str">
        <f t="shared" si="11"/>
        <v>Nom et type de la pompe</v>
      </c>
      <c r="C303" s="1161" t="s">
        <v>2016</v>
      </c>
      <c r="D303" s="1157" t="s">
        <v>3325</v>
      </c>
      <c r="E303" s="1167" t="s">
        <v>24</v>
      </c>
    </row>
    <row r="304" spans="1:5" ht="25.5" x14ac:dyDescent="0.2">
      <c r="A304" s="1159">
        <v>298</v>
      </c>
      <c r="B304" s="1160" t="str">
        <f t="shared" si="11"/>
        <v xml:space="preserve">Courant absorbé de la pompe à plein régime </v>
      </c>
      <c r="C304" s="1161" t="s">
        <v>1830</v>
      </c>
      <c r="D304" s="1157" t="s">
        <v>1269</v>
      </c>
      <c r="E304" s="1167" t="s">
        <v>25</v>
      </c>
    </row>
    <row r="305" spans="1:5" ht="28.15" customHeight="1" x14ac:dyDescent="0.2">
      <c r="A305" s="1159">
        <v>299</v>
      </c>
      <c r="B305" s="1160" t="str">
        <f t="shared" si="11"/>
        <v>Perte de charge dynamique à plein régime</v>
      </c>
      <c r="C305" s="1161" t="s">
        <v>1843</v>
      </c>
      <c r="D305" s="1157" t="s">
        <v>1270</v>
      </c>
      <c r="E305" s="1167" t="s">
        <v>26</v>
      </c>
    </row>
    <row r="306" spans="1:5" x14ac:dyDescent="0.2">
      <c r="A306" s="1159">
        <v>300</v>
      </c>
      <c r="B306" s="1160" t="str">
        <f t="shared" si="11"/>
        <v>Débit à plein régime</v>
      </c>
      <c r="C306" s="1161" t="s">
        <v>1831</v>
      </c>
      <c r="D306" s="1160" t="s">
        <v>1271</v>
      </c>
      <c r="E306" s="1158" t="s">
        <v>27</v>
      </c>
    </row>
    <row r="307" spans="1:5" x14ac:dyDescent="0.2">
      <c r="A307" s="1159">
        <v>301</v>
      </c>
      <c r="B307" s="1160" t="str">
        <f t="shared" si="11"/>
        <v>Hauteur statique</v>
      </c>
      <c r="C307" s="1161" t="s">
        <v>2029</v>
      </c>
      <c r="D307" s="1160" t="s">
        <v>1272</v>
      </c>
      <c r="E307" s="1158" t="s">
        <v>52</v>
      </c>
    </row>
    <row r="308" spans="1:5" x14ac:dyDescent="0.2">
      <c r="A308" s="1159">
        <v>302</v>
      </c>
      <c r="B308" s="1160" t="str">
        <f t="shared" si="11"/>
        <v>Mode d'exploitation</v>
      </c>
      <c r="C308" s="1161" t="s">
        <v>2017</v>
      </c>
      <c r="D308" s="1157" t="s">
        <v>1273</v>
      </c>
      <c r="E308" s="1167" t="s">
        <v>28</v>
      </c>
    </row>
    <row r="309" spans="1:5" x14ac:dyDescent="0.2">
      <c r="A309" s="1159">
        <v>303</v>
      </c>
      <c r="B309" s="1160" t="str">
        <f t="shared" si="11"/>
        <v>Régulation</v>
      </c>
      <c r="C309" s="1161" t="s">
        <v>2020</v>
      </c>
      <c r="D309" s="1157" t="s">
        <v>1274</v>
      </c>
      <c r="E309" s="1167" t="s">
        <v>29</v>
      </c>
    </row>
    <row r="310" spans="1:5" x14ac:dyDescent="0.2">
      <c r="A310" s="1159">
        <v>304</v>
      </c>
      <c r="B310" s="1160" t="str">
        <f t="shared" si="11"/>
        <v>Valeur de calcul</v>
      </c>
      <c r="C310" s="1161" t="s">
        <v>1814</v>
      </c>
      <c r="D310" s="1157" t="s">
        <v>1275</v>
      </c>
      <c r="E310" s="1167" t="s">
        <v>30</v>
      </c>
    </row>
    <row r="311" spans="1:5" x14ac:dyDescent="0.2">
      <c r="A311" s="1159">
        <v>305</v>
      </c>
      <c r="B311" s="1160" t="str">
        <f t="shared" si="11"/>
        <v>Valeur estimée</v>
      </c>
      <c r="C311" s="1161" t="s">
        <v>2560</v>
      </c>
      <c r="D311" s="1157" t="s">
        <v>1276</v>
      </c>
      <c r="E311" s="1167" t="s">
        <v>31</v>
      </c>
    </row>
    <row r="312" spans="1:5" ht="25.5" x14ac:dyDescent="0.2">
      <c r="A312" s="1159">
        <v>306</v>
      </c>
      <c r="B312" s="1160" t="str">
        <f t="shared" si="11"/>
        <v>Valeur estimée selon feuille PAC</v>
      </c>
      <c r="C312" s="1161" t="s">
        <v>1813</v>
      </c>
      <c r="D312" s="1157" t="s">
        <v>1277</v>
      </c>
      <c r="E312" s="1167" t="s">
        <v>32</v>
      </c>
    </row>
    <row r="313" spans="1:5" x14ac:dyDescent="0.2">
      <c r="A313" s="1159">
        <v>307</v>
      </c>
      <c r="B313" s="1160" t="str">
        <f t="shared" si="11"/>
        <v>Valeur effective</v>
      </c>
      <c r="C313" s="1161" t="s">
        <v>1817</v>
      </c>
      <c r="D313" s="1157" t="s">
        <v>1278</v>
      </c>
      <c r="E313" s="1167" t="s">
        <v>33</v>
      </c>
    </row>
    <row r="314" spans="1:5" ht="27.6" customHeight="1" x14ac:dyDescent="0.2">
      <c r="A314" s="1159">
        <v>308</v>
      </c>
      <c r="B314" s="1160" t="str">
        <f t="shared" si="11"/>
        <v>Pompe de l'évaporateur ou ventilateur</v>
      </c>
      <c r="C314" s="1161" t="s">
        <v>1821</v>
      </c>
      <c r="D314" s="1157" t="s">
        <v>1279</v>
      </c>
      <c r="E314" s="1167" t="s">
        <v>34</v>
      </c>
    </row>
    <row r="315" spans="1:5" ht="29.45" customHeight="1" x14ac:dyDescent="0.2">
      <c r="A315" s="1159">
        <v>309</v>
      </c>
      <c r="B315" s="1160" t="str">
        <f t="shared" si="11"/>
        <v xml:space="preserve">Courant absorbé de la pompe / ventilateur à plein régime </v>
      </c>
      <c r="C315" s="1161" t="s">
        <v>1825</v>
      </c>
      <c r="D315" s="1157" t="s">
        <v>1280</v>
      </c>
      <c r="E315" s="1167" t="s">
        <v>35</v>
      </c>
    </row>
    <row r="316" spans="1:5" ht="25.5" x14ac:dyDescent="0.2">
      <c r="A316" s="1159">
        <v>310</v>
      </c>
      <c r="B316" s="1160" t="str">
        <f t="shared" si="11"/>
        <v>Perte de charge à l'évaporateur</v>
      </c>
      <c r="C316" s="1161" t="s">
        <v>1822</v>
      </c>
      <c r="D316" s="1157" t="s">
        <v>1281</v>
      </c>
      <c r="E316" s="1167" t="s">
        <v>38</v>
      </c>
    </row>
    <row r="317" spans="1:5" x14ac:dyDescent="0.2">
      <c r="A317" s="1159">
        <v>311</v>
      </c>
      <c r="B317" s="1160" t="str">
        <f t="shared" si="11"/>
        <v>Débit à l'évaporateur</v>
      </c>
      <c r="C317" s="1161" t="s">
        <v>1823</v>
      </c>
      <c r="D317" s="1157" t="s">
        <v>1282</v>
      </c>
      <c r="E317" s="1167" t="s">
        <v>39</v>
      </c>
    </row>
    <row r="318" spans="1:5" x14ac:dyDescent="0.2">
      <c r="A318" s="1159">
        <v>312</v>
      </c>
      <c r="B318" s="1160" t="str">
        <f t="shared" si="11"/>
        <v>Pompe au condenseur</v>
      </c>
      <c r="C318" s="1161" t="s">
        <v>2021</v>
      </c>
      <c r="D318" s="1157" t="s">
        <v>1283</v>
      </c>
      <c r="E318" s="1167" t="s">
        <v>36</v>
      </c>
    </row>
    <row r="319" spans="1:5" ht="41.45" customHeight="1" x14ac:dyDescent="0.2">
      <c r="A319" s="1159">
        <v>313</v>
      </c>
      <c r="B319" s="1160" t="str">
        <f t="shared" si="11"/>
        <v>Courant absorbé par la pompe P1 à plein régime (seule la part du condenseur)</v>
      </c>
      <c r="C319" s="1161" t="s">
        <v>1824</v>
      </c>
      <c r="D319" s="1157" t="s">
        <v>1284</v>
      </c>
      <c r="E319" s="1167" t="s">
        <v>37</v>
      </c>
    </row>
    <row r="320" spans="1:5" ht="33" customHeight="1" x14ac:dyDescent="0.2">
      <c r="A320" s="1159">
        <v>314</v>
      </c>
      <c r="B320" s="1160" t="str">
        <f t="shared" si="11"/>
        <v>Perte de charge nominale au condenseur</v>
      </c>
      <c r="C320" s="1161" t="s">
        <v>2026</v>
      </c>
      <c r="D320" s="1157" t="s">
        <v>1285</v>
      </c>
      <c r="E320" s="1167" t="s">
        <v>40</v>
      </c>
    </row>
    <row r="321" spans="1:5" ht="24" x14ac:dyDescent="0.2">
      <c r="A321" s="1159">
        <v>315</v>
      </c>
      <c r="B321" s="1160" t="str">
        <f t="shared" si="11"/>
        <v>Débit nominal au condenseur</v>
      </c>
      <c r="C321" s="1161" t="s">
        <v>2025</v>
      </c>
      <c r="D321" s="1160" t="s">
        <v>2598</v>
      </c>
      <c r="E321" s="1158" t="s">
        <v>41</v>
      </c>
    </row>
    <row r="322" spans="1:5" x14ac:dyDescent="0.2">
      <c r="A322" s="1159">
        <v>316</v>
      </c>
      <c r="B322" s="1160" t="str">
        <f t="shared" si="11"/>
        <v>inclus dans le COP</v>
      </c>
      <c r="C322" s="1161" t="s">
        <v>1847</v>
      </c>
      <c r="D322" s="1157" t="s">
        <v>2599</v>
      </c>
      <c r="E322" s="1167" t="s">
        <v>42</v>
      </c>
    </row>
    <row r="323" spans="1:5" x14ac:dyDescent="0.2">
      <c r="A323" s="1159">
        <v>317</v>
      </c>
      <c r="B323" s="1160" t="str">
        <f t="shared" si="11"/>
        <v>non calculé</v>
      </c>
      <c r="C323" s="1161" t="s">
        <v>1826</v>
      </c>
      <c r="D323" s="1157" t="s">
        <v>2600</v>
      </c>
      <c r="E323" s="1167" t="s">
        <v>43</v>
      </c>
    </row>
    <row r="324" spans="1:5" x14ac:dyDescent="0.2">
      <c r="A324" s="1159">
        <v>318</v>
      </c>
      <c r="B324" s="1160" t="str">
        <f t="shared" si="11"/>
        <v>toujours en exploitation</v>
      </c>
      <c r="C324" s="1161" t="s">
        <v>2018</v>
      </c>
      <c r="D324" s="1157" t="s">
        <v>2601</v>
      </c>
      <c r="E324" s="1167" t="s">
        <v>44</v>
      </c>
    </row>
    <row r="325" spans="1:5" ht="25.5" x14ac:dyDescent="0.2">
      <c r="A325" s="1159">
        <v>319</v>
      </c>
      <c r="B325" s="1160" t="str">
        <f t="shared" si="11"/>
        <v>seulement en exploitation si la PAC est en service</v>
      </c>
      <c r="C325" s="1161" t="s">
        <v>2019</v>
      </c>
      <c r="D325" s="1157" t="s">
        <v>2602</v>
      </c>
      <c r="E325" s="1167" t="s">
        <v>45</v>
      </c>
    </row>
    <row r="326" spans="1:5" x14ac:dyDescent="0.2">
      <c r="A326" s="1159">
        <v>320</v>
      </c>
      <c r="B326" s="1160" t="str">
        <f t="shared" si="11"/>
        <v>non réglé</v>
      </c>
      <c r="C326" s="1161" t="s">
        <v>2027</v>
      </c>
      <c r="D326" s="1157" t="s">
        <v>2603</v>
      </c>
      <c r="E326" s="1167" t="s">
        <v>46</v>
      </c>
    </row>
    <row r="327" spans="1:5" x14ac:dyDescent="0.2">
      <c r="A327" s="1159">
        <v>321</v>
      </c>
      <c r="B327" s="1160" t="str">
        <f t="shared" si="11"/>
        <v>réglé</v>
      </c>
      <c r="C327" s="1161" t="s">
        <v>2028</v>
      </c>
      <c r="D327" s="1157" t="s">
        <v>2604</v>
      </c>
      <c r="E327" s="1167" t="s">
        <v>47</v>
      </c>
    </row>
    <row r="328" spans="1:5" x14ac:dyDescent="0.2">
      <c r="A328" s="1159">
        <v>322</v>
      </c>
      <c r="B328" s="1160" t="str">
        <f t="shared" si="11"/>
        <v>une vitesse</v>
      </c>
      <c r="C328" s="1161" t="s">
        <v>2031</v>
      </c>
      <c r="D328" s="1157" t="s">
        <v>2716</v>
      </c>
      <c r="E328" s="1167" t="s">
        <v>3</v>
      </c>
    </row>
    <row r="329" spans="1:5" x14ac:dyDescent="0.2">
      <c r="A329" s="1159">
        <v>323</v>
      </c>
      <c r="B329" s="1160" t="str">
        <f t="shared" si="11"/>
        <v>2 vitesses</v>
      </c>
      <c r="C329" s="1161" t="s">
        <v>2032</v>
      </c>
      <c r="D329" s="1157" t="s">
        <v>945</v>
      </c>
      <c r="E329" s="1167" t="s">
        <v>4</v>
      </c>
    </row>
    <row r="330" spans="1:5" x14ac:dyDescent="0.2">
      <c r="A330" s="1159">
        <v>324</v>
      </c>
      <c r="B330" s="1160" t="str">
        <f t="shared" si="11"/>
        <v>réglé</v>
      </c>
      <c r="C330" s="1161" t="s">
        <v>2028</v>
      </c>
      <c r="D330" s="1157" t="s">
        <v>2604</v>
      </c>
      <c r="E330" s="1167" t="s">
        <v>47</v>
      </c>
    </row>
    <row r="331" spans="1:5" x14ac:dyDescent="0.2">
      <c r="A331" s="1159">
        <v>325</v>
      </c>
      <c r="B331" s="1160">
        <f t="shared" si="11"/>
        <v>0</v>
      </c>
      <c r="C331" s="1161"/>
      <c r="D331" s="1157"/>
      <c r="E331" s="1167"/>
    </row>
    <row r="332" spans="1:5" x14ac:dyDescent="0.2">
      <c r="A332" s="1159">
        <v>326</v>
      </c>
      <c r="B332" s="1160">
        <f t="shared" si="11"/>
        <v>0</v>
      </c>
      <c r="C332" s="1161"/>
      <c r="D332" s="1157"/>
      <c r="E332" s="1167"/>
    </row>
    <row r="333" spans="1:5" x14ac:dyDescent="0.2">
      <c r="A333" s="1159">
        <v>327</v>
      </c>
      <c r="B333" s="1160" t="str">
        <f t="shared" si="11"/>
        <v>exclu el. add.</v>
      </c>
      <c r="C333" s="1161" t="s">
        <v>1600</v>
      </c>
      <c r="D333" s="1160" t="s">
        <v>2912</v>
      </c>
      <c r="E333" s="1158" t="s">
        <v>2913</v>
      </c>
    </row>
    <row r="334" spans="1:5" x14ac:dyDescent="0.2">
      <c r="A334" s="1159">
        <v>328</v>
      </c>
      <c r="B334" s="1160" t="str">
        <f t="shared" si="11"/>
        <v>y compris el. add.</v>
      </c>
      <c r="C334" s="1161" t="s">
        <v>2910</v>
      </c>
      <c r="D334" s="1157" t="s">
        <v>2911</v>
      </c>
      <c r="E334" s="1158" t="s">
        <v>2914</v>
      </c>
    </row>
    <row r="335" spans="1:5" x14ac:dyDescent="0.2">
      <c r="A335" s="1159">
        <v>329</v>
      </c>
      <c r="B335" s="1160" t="str">
        <f t="shared" si="11"/>
        <v>Puissance de chauffe PAC</v>
      </c>
      <c r="C335" s="1161" t="s">
        <v>3404</v>
      </c>
      <c r="D335" s="1157" t="s">
        <v>3408</v>
      </c>
      <c r="E335" s="1158" t="s">
        <v>3409</v>
      </c>
    </row>
    <row r="336" spans="1:5" x14ac:dyDescent="0.2">
      <c r="A336" s="1159">
        <v>330</v>
      </c>
      <c r="B336" s="1160" t="str">
        <f t="shared" si="11"/>
        <v>COP</v>
      </c>
      <c r="C336" s="1161" t="s">
        <v>774</v>
      </c>
      <c r="D336" s="1157" t="s">
        <v>774</v>
      </c>
      <c r="E336" s="1167" t="s">
        <v>774</v>
      </c>
    </row>
    <row r="337" spans="1:5" ht="24" x14ac:dyDescent="0.2">
      <c r="A337" s="1159">
        <v>331</v>
      </c>
      <c r="B337" s="1160" t="str">
        <f t="shared" si="11"/>
        <v>Voir aussi feuille "Spez"</v>
      </c>
      <c r="C337" s="1161" t="s">
        <v>3405</v>
      </c>
      <c r="D337" s="1157" t="s">
        <v>3406</v>
      </c>
      <c r="E337" s="1167" t="s">
        <v>3407</v>
      </c>
    </row>
    <row r="338" spans="1:5" ht="25.5" x14ac:dyDescent="0.2">
      <c r="A338" s="1159">
        <v>332</v>
      </c>
      <c r="B338" s="1160" t="str">
        <f t="shared" si="11"/>
        <v>Valeurs de calcul sans évaporateur</v>
      </c>
      <c r="C338" s="1161" t="s">
        <v>4547</v>
      </c>
      <c r="D338" s="1157" t="s">
        <v>4548</v>
      </c>
      <c r="E338" s="1167" t="s">
        <v>4549</v>
      </c>
    </row>
    <row r="339" spans="1:5" x14ac:dyDescent="0.2">
      <c r="A339" s="1159">
        <v>333</v>
      </c>
      <c r="B339" s="1160">
        <f t="shared" si="11"/>
        <v>0</v>
      </c>
      <c r="C339" s="1161"/>
      <c r="D339" s="1157"/>
      <c r="E339" s="1167"/>
    </row>
    <row r="340" spans="1:5" x14ac:dyDescent="0.2">
      <c r="A340" s="1159">
        <v>334</v>
      </c>
      <c r="B340" s="1160">
        <f t="shared" si="11"/>
        <v>0</v>
      </c>
      <c r="C340" s="1161"/>
      <c r="D340" s="1157"/>
      <c r="E340" s="1167"/>
    </row>
    <row r="341" spans="1:5" x14ac:dyDescent="0.2">
      <c r="A341" s="1159">
        <v>335</v>
      </c>
      <c r="B341" s="1160">
        <f t="shared" si="11"/>
        <v>0</v>
      </c>
      <c r="C341" s="1161"/>
      <c r="D341" s="1157"/>
      <c r="E341" s="1167"/>
    </row>
  </sheetData>
  <sheetProtection algorithmName="SHA-512" hashValue="eOtUswGwf1wp4406uyw+sbH5u6t9A3UPEzFXEwo12SEoxQdp70UkuMjCSGdscHlneB7WsRpCJh/jibALNC/T2g==" saltValue="fP7SK2hRtMh87UxJ43AVpA=="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87BE-1745-46E3-8B49-C4A1FC3C0079}">
  <dimension ref="A1"/>
  <sheetViews>
    <sheetView workbookViewId="0"/>
  </sheetViews>
  <sheetFormatPr baseColWidth="10" defaultRowHeight="12.75" x14ac:dyDescent="0.2"/>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AQ14" sqref="AQ14"/>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x14ac:dyDescent="0.2">
      <c r="A1" s="1"/>
      <c r="B1" s="1102" t="str">
        <f>Sprache!B283</f>
        <v>Feuille de calcul PACesti</v>
      </c>
      <c r="E1" s="3"/>
      <c r="F1" s="4"/>
      <c r="G1" s="1264" t="str">
        <f>Sprache!B8</f>
        <v>WPesti / V 8.3.38 / 19.12.2025                valable jusqu'à 31.12.2026</v>
      </c>
      <c r="H1" s="1264"/>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x14ac:dyDescent="0.2">
      <c r="A2" s="1"/>
      <c r="B2" s="1101" t="str">
        <f>Sprache!B9</f>
        <v>Projet:</v>
      </c>
      <c r="C2" s="2"/>
      <c r="D2" s="2"/>
      <c r="G2" s="1265"/>
      <c r="H2" s="1265"/>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x14ac:dyDescent="0.2">
      <c r="A3" s="1"/>
      <c r="B3" s="1226"/>
      <c r="C3" s="1227"/>
      <c r="D3" s="1227"/>
      <c r="E3" s="1227"/>
      <c r="F3" s="1227"/>
      <c r="G3" s="1227"/>
      <c r="H3" s="1228"/>
      <c r="L3" s="6" t="s">
        <v>3474</v>
      </c>
      <c r="M3" s="7">
        <f>IF(H7=0,1,MATCH(H7,L5:L17,0))</f>
        <v>1</v>
      </c>
      <c r="N3" s="1235">
        <f>H7</f>
        <v>0</v>
      </c>
      <c r="O3" s="1236"/>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x14ac:dyDescent="0.3">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x14ac:dyDescent="0.2">
      <c r="A5" s="1"/>
      <c r="B5" s="32" t="str">
        <f>Sprache!B10</f>
        <v>Données concernant le bâtiment</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x14ac:dyDescent="0.2">
      <c r="B6" s="36" t="str">
        <f>Sprache!B11</f>
        <v xml:space="preserve">Station climatique:    </v>
      </c>
      <c r="C6" s="4"/>
      <c r="D6" s="4"/>
      <c r="E6" s="31"/>
      <c r="F6" s="4"/>
      <c r="G6" s="37" t="str">
        <f>IF(JAZcalc,"",IF(Klima=1,Sprache!B24,""))</f>
        <v>choisir -&gt;</v>
      </c>
      <c r="H6" s="693"/>
      <c r="L6" s="20" t="str">
        <f>Sprache!B100</f>
        <v>Habitat collectif</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x14ac:dyDescent="0.2">
      <c r="B7" s="38" t="str">
        <f>Sprache!B13</f>
        <v>Catégorie d'ouvrage</v>
      </c>
      <c r="C7" s="40"/>
      <c r="D7" s="40"/>
      <c r="E7" s="39"/>
      <c r="F7" s="40"/>
      <c r="G7" s="41" t="str">
        <f>IF(Kategorie=1,Sprache!B24,"")</f>
        <v>choisir -&gt;</v>
      </c>
      <c r="H7" s="1106"/>
      <c r="L7" s="20" t="str">
        <f>Sprache!B101</f>
        <v>Habitat individuel</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x14ac:dyDescent="0.2">
      <c r="B8" s="38" t="str">
        <f>Sprache!B12</f>
        <v>Surface de référence énergétique SRE</v>
      </c>
      <c r="C8" s="40"/>
      <c r="D8" s="40"/>
      <c r="E8" s="47" t="str">
        <f>IF(OR(EBF="",EBF=0),Sprache!B75,"")</f>
        <v>choisir -&gt;</v>
      </c>
      <c r="F8" s="42" t="s">
        <v>2341</v>
      </c>
      <c r="G8" s="42" t="s">
        <v>737</v>
      </c>
      <c r="H8" s="43"/>
      <c r="L8" s="20" t="str">
        <f>Sprache!B102</f>
        <v>Administration</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x14ac:dyDescent="0.2">
      <c r="B9" s="38" t="str">
        <f>Sprache!B14</f>
        <v>Besoins de chaleur pour le chauffage selon SIA 380/1</v>
      </c>
      <c r="C9" s="40"/>
      <c r="D9" s="40"/>
      <c r="E9" s="47" t="str">
        <f>IF(H9="",Sprache!B75,"")</f>
        <v>choisir -&gt;</v>
      </c>
      <c r="F9" s="42" t="s">
        <v>2368</v>
      </c>
      <c r="G9" s="1121" t="s">
        <v>3488</v>
      </c>
      <c r="H9" s="43"/>
      <c r="K9" s="214"/>
      <c r="L9" s="20" t="str">
        <f>Sprache!B103</f>
        <v>Ecole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x14ac:dyDescent="0.2">
      <c r="B10" s="38" t="str">
        <f>Sprache!B15</f>
        <v>Déperditions par transmission selon SIA 380/1</v>
      </c>
      <c r="C10" s="40"/>
      <c r="D10" s="40"/>
      <c r="E10" s="47" t="str">
        <f>IF(OR(QT="",QT=0),Sprache!B75,IF(H10,IF(OR(H10&lt;=0.5*$H$9,Berechnungen!E33),Sprache!B131,""),""))</f>
        <v>choisir -&gt;</v>
      </c>
      <c r="F10" s="42" t="s">
        <v>744</v>
      </c>
      <c r="G10" s="42" t="str">
        <f>G9</f>
        <v>MJ/m2a</v>
      </c>
      <c r="H10" s="43"/>
      <c r="L10" s="20" t="str">
        <f>Sprache!B104</f>
        <v>Commerce</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x14ac:dyDescent="0.2">
      <c r="B11" s="38" t="str">
        <f>Sprache!B16</f>
        <v>Déperditions par renouvellement d'air selon SIA 380/1</v>
      </c>
      <c r="C11" s="40"/>
      <c r="D11" s="40"/>
      <c r="E11" s="47" t="str">
        <f>IF(OR(QV="",QV=0),Sprache!B75,IF(H11,IF(OR((H11+QT)&lt;$H$9,Berechnungen!E33),Sprache!B131,""),""))</f>
        <v>choisir -&gt;</v>
      </c>
      <c r="F11" s="42" t="s">
        <v>750</v>
      </c>
      <c r="G11" s="42" t="str">
        <f>G9</f>
        <v>MJ/m2a</v>
      </c>
      <c r="H11" s="43"/>
      <c r="L11" s="20" t="str">
        <f>Sprache!B105</f>
        <v>Restauration</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x14ac:dyDescent="0.2">
      <c r="B12" s="38" t="str">
        <f>Sprache!B17</f>
        <v>Chauffage: pertes supplémentaires de distribution de chaleur</v>
      </c>
      <c r="C12" s="40"/>
      <c r="D12" s="40"/>
      <c r="E12" s="47"/>
      <c r="F12" s="42"/>
      <c r="G12" s="42" t="s">
        <v>3643</v>
      </c>
      <c r="H12" s="57"/>
      <c r="L12" s="20" t="str">
        <f>Sprache!B106</f>
        <v>Lieu de rassemblement</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x14ac:dyDescent="0.2">
      <c r="B13" s="38" t="str">
        <f>Sprache!B18</f>
        <v>Durée de coupure d'alimentation de la PAC</v>
      </c>
      <c r="C13" s="40"/>
      <c r="D13" s="40"/>
      <c r="E13" s="47"/>
      <c r="F13" s="42"/>
      <c r="G13" s="63" t="s">
        <v>3647</v>
      </c>
      <c r="H13" s="64"/>
      <c r="L13" s="20" t="str">
        <f>Sprache!B107</f>
        <v>Hôpitaux</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x14ac:dyDescent="0.2">
      <c r="B14" s="38" t="str">
        <f>Sprache!B19</f>
        <v>Puissance de chauffage nécessaire sans ECS à °C</v>
      </c>
      <c r="C14" s="40"/>
      <c r="D14" s="40"/>
      <c r="E14" s="70" t="str">
        <f>'WP1'!E14</f>
        <v/>
      </c>
      <c r="F14" s="71" t="str">
        <f>'WP1'!F14</f>
        <v/>
      </c>
      <c r="G14" s="63" t="s">
        <v>3650</v>
      </c>
      <c r="H14" s="1117"/>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x14ac:dyDescent="0.2">
      <c r="B15" s="38" t="str">
        <f>Sprache!B20</f>
        <v>Besoins de chaleur pour l'ECS selon SIA 380/1</v>
      </c>
      <c r="C15" s="40"/>
      <c r="D15" s="40"/>
      <c r="E15" s="39"/>
      <c r="F15" s="42" t="s">
        <v>717</v>
      </c>
      <c r="G15" s="42" t="str">
        <f>G11</f>
        <v>MJ/m2a</v>
      </c>
      <c r="H15" s="911" t="str">
        <f>IF(H7&lt;&gt;"",Qww/Einheitenfaktor,"")</f>
        <v/>
      </c>
      <c r="K15" s="19" t="str">
        <f>INDEX(O5:O17,Kategorie,1)</f>
        <v xml:space="preserve"> </v>
      </c>
      <c r="L15" s="20" t="str">
        <f>Sprache!B109</f>
        <v>Dépôt</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x14ac:dyDescent="0.2">
      <c r="B16" s="77" t="str">
        <f>Sprache!B21</f>
        <v>Eau chaude sanitaire: pertes supplémentaires d'accumulation et de distribution</v>
      </c>
      <c r="C16" s="534"/>
      <c r="D16" s="534"/>
      <c r="E16" s="78"/>
      <c r="F16" s="79"/>
      <c r="G16" s="79" t="s">
        <v>3643</v>
      </c>
      <c r="H16" s="729"/>
      <c r="K16" s="728"/>
      <c r="L16" s="20" t="str">
        <f>Sprache!B110</f>
        <v>Installation sportive</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x14ac:dyDescent="0.2">
      <c r="B17" s="666" t="str">
        <f>IF(AND(Qh&gt;0,$M$26&lt;&gt;3),IF(AND(bivalent=FALSE,elZusatz=FALSE,F53&gt;0.01),Sprache!B146,""),"")</f>
        <v/>
      </c>
      <c r="C17" s="34"/>
      <c r="D17" s="4"/>
      <c r="E17" s="31"/>
      <c r="F17" s="965"/>
      <c r="G17" s="965"/>
      <c r="H17" s="963"/>
      <c r="L17" s="26" t="str">
        <f>Sprache!B111</f>
        <v>Piscine</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x14ac:dyDescent="0.2">
      <c r="B18" s="32" t="str">
        <f>Sprache!B22</f>
        <v>Installation de pompe à chaleur</v>
      </c>
      <c r="C18" s="1243"/>
      <c r="D18" s="1244"/>
      <c r="E18" s="1105"/>
      <c r="F18" s="1021" t="str">
        <f>IF(SpezWP,IF(Spez!E5&lt;&gt;"",Spez!E5,""),"Hersteller:  ")</f>
        <v xml:space="preserve">Hersteller:  </v>
      </c>
      <c r="G18" s="1257"/>
      <c r="H18" s="1258"/>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x14ac:dyDescent="0.2">
      <c r="B19" s="92" t="str">
        <f>Sprache!B23</f>
        <v>Nom et type de PAC</v>
      </c>
      <c r="C19" s="250"/>
      <c r="D19" s="250"/>
      <c r="E19" s="93"/>
      <c r="F19" s="1022" t="str">
        <f>IF(SpezWP,IF(Spez!E5&lt;&gt;"",Spez!E5,""),"Typ:  ")</f>
        <v xml:space="preserve">Typ:  </v>
      </c>
      <c r="G19" s="1269"/>
      <c r="H19" s="1270"/>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x14ac:dyDescent="0.2">
      <c r="B20" s="92" t="str">
        <f>Sprache!B26</f>
        <v>Source de chaleur:</v>
      </c>
      <c r="C20" s="250"/>
      <c r="D20" s="250"/>
      <c r="E20" s="347" t="str">
        <f>IF(WPArt=1,Sprache!B24,"")</f>
        <v>choisir -&gt;</v>
      </c>
      <c r="F20" s="1240"/>
      <c r="G20" s="1241"/>
      <c r="H20" s="1242"/>
      <c r="K20" s="377">
        <f>IF(F20="",1,MATCH(F20,$M$74:$M$94,0))</f>
        <v>1</v>
      </c>
      <c r="L20" s="1215" t="s">
        <v>1626</v>
      </c>
      <c r="M20" s="1216"/>
      <c r="N20" s="5"/>
      <c r="O20" s="139" t="s">
        <v>1681</v>
      </c>
      <c r="P20" s="229">
        <f>K22</f>
        <v>1</v>
      </c>
      <c r="Q20" s="996" t="s">
        <v>1682</v>
      </c>
      <c r="R20" s="230" t="s">
        <v>84</v>
      </c>
      <c r="S20" s="5"/>
      <c r="T20" s="192" t="s">
        <v>1678</v>
      </c>
      <c r="U20" s="227" t="s">
        <v>1679</v>
      </c>
      <c r="V20" s="227" t="s">
        <v>1680</v>
      </c>
      <c r="W20" s="5"/>
      <c r="X20" s="139" t="s">
        <v>3930</v>
      </c>
      <c r="Y20" s="172">
        <f>K24</f>
        <v>1</v>
      </c>
      <c r="Z20" s="5"/>
      <c r="AA20" s="192" t="s">
        <v>3941</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x14ac:dyDescent="0.2">
      <c r="B21" s="100" t="str">
        <f>Sprache!B27</f>
        <v>Utilisation (chauffage ou eau chaude sanitaire)</v>
      </c>
      <c r="C21" s="103"/>
      <c r="D21" s="103"/>
      <c r="E21" s="347" t="str">
        <f>IF(M27=1,Sprache!B24,"")</f>
        <v>choisir -&gt;</v>
      </c>
      <c r="F21" s="1240" t="s">
        <v>718</v>
      </c>
      <c r="G21" s="1241"/>
      <c r="H21" s="1242"/>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x14ac:dyDescent="0.2">
      <c r="B22" s="100" t="str">
        <f>IF(Heizung=FALSE,"",Sprache!B29)</f>
        <v/>
      </c>
      <c r="C22" s="103"/>
      <c r="D22" s="103"/>
      <c r="E22" s="347" t="str">
        <f>IF(AND(HeizungSolar,$P$20=3),Sprache!B25,IF(AND(P20=1,Heizung),Sprache!B24,""))</f>
        <v/>
      </c>
      <c r="F22" s="1240" t="s">
        <v>718</v>
      </c>
      <c r="G22" s="1241"/>
      <c r="H22" s="1242"/>
      <c r="K22" s="377">
        <f>IF(F22="",1,IF(OR($K$21=3,$K$21=1,$K$20=18),1,MATCH(F22,$O$21:$O$27,0)))</f>
        <v>1</v>
      </c>
      <c r="L22" s="26" t="s">
        <v>938</v>
      </c>
      <c r="M22" s="65">
        <f>IF(M21=2,3.6,1)</f>
        <v>1</v>
      </c>
      <c r="N22" s="5"/>
      <c r="O22" s="20" t="str">
        <f>IF('WP1'!AH134&lt;&gt;"",'WP1'!AH134,"")</f>
        <v/>
      </c>
      <c r="P22" s="246" t="b">
        <v>0</v>
      </c>
      <c r="Q22" s="233">
        <f>'WP1'!AJ134</f>
        <v>0</v>
      </c>
      <c r="R22" s="21" t="b">
        <v>0</v>
      </c>
      <c r="S22" s="5"/>
      <c r="T22" s="238" t="str">
        <f>'WP1'!AD134</f>
        <v>fonctionnement chauffage monovalent</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x14ac:dyDescent="0.2">
      <c r="B23" s="100" t="str">
        <f>Sprache!B28</f>
        <v>Mode de fonctionnement de la PAC</v>
      </c>
      <c r="C23" s="103"/>
      <c r="D23" s="103"/>
      <c r="E23" s="347" t="str">
        <f>IF(T27=1,Sprache!B24,"")</f>
        <v>choisir -&gt;</v>
      </c>
      <c r="F23" s="1240" t="s">
        <v>718</v>
      </c>
      <c r="G23" s="1241"/>
      <c r="H23" s="1242"/>
      <c r="K23" s="377">
        <f>IF(F23="",1,IF(MATCH(F23,$T$21:$T$25,0)=5,4,MATCH(F23,$T$21:$T$25,0)))</f>
        <v>1</v>
      </c>
      <c r="L23" s="5">
        <f>IF(F23="",1,MATCH(F23,$T$21:$T$25,0))</f>
        <v>1</v>
      </c>
      <c r="M23" s="5"/>
      <c r="N23" s="5"/>
      <c r="O23" s="20" t="str">
        <f>IF('WP1'!AH135&lt;&gt;"",'WP1'!AH135,"")</f>
        <v/>
      </c>
      <c r="P23" s="246" t="b">
        <v>1</v>
      </c>
      <c r="Q23" s="233">
        <f>'WP1'!AJ135</f>
        <v>0.02</v>
      </c>
      <c r="R23" s="21" t="b">
        <v>0</v>
      </c>
      <c r="S23" s="5"/>
      <c r="T23" s="238" t="str">
        <f>'WP1'!AD135</f>
        <v xml:space="preserve">avec chauffage électrique de secours </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x14ac:dyDescent="0.2">
      <c r="B24" s="166" t="str">
        <f>IF(elZusatz,Sprache!B30,"")</f>
        <v/>
      </c>
      <c r="C24" s="499"/>
      <c r="D24" s="499"/>
      <c r="E24" s="538" t="str">
        <f>IF(AND(elZusatz,Y20=1),Sprache!B24,"")</f>
        <v/>
      </c>
      <c r="F24" s="1259"/>
      <c r="G24" s="1260"/>
      <c r="H24" s="1261"/>
      <c r="K24" s="377">
        <f>IF(F24="",1,MATCH(F24,$X$21:$X$25,0))</f>
        <v>1</v>
      </c>
      <c r="L24" s="5"/>
      <c r="M24" s="5"/>
      <c r="N24" s="5"/>
      <c r="O24" s="20" t="str">
        <f>IF('WP1'!AH136&lt;&gt;"",'WP1'!AH136,"")</f>
        <v/>
      </c>
      <c r="P24" s="246" t="b">
        <f>IF(M26=4,TRUE,FALSE)</f>
        <v>0</v>
      </c>
      <c r="Q24" s="233">
        <f>'WP1'!AJ136</f>
        <v>0.04</v>
      </c>
      <c r="R24" s="21" t="b">
        <v>0</v>
      </c>
      <c r="S24" s="5"/>
      <c r="T24" s="238" t="str">
        <f>'WP1'!AD136</f>
        <v>Installation bivalente fossile</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x14ac:dyDescent="0.2">
      <c r="B25" s="539" t="str">
        <f>Sprache!B69</f>
        <v>Température de la source (entrée PAC)</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Installation bivalente fossile alternative</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x14ac:dyDescent="0.2">
      <c r="B26" s="502" t="str">
        <f>Sprache!B185&amp;IF(SpezWP,Spez!C10,35)&amp;"°C(Qh/COP):"</f>
        <v>Valeurs de calcul pour Tdép35°C(Qh/COP):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x14ac:dyDescent="0.2">
      <c r="B27" s="536" t="str">
        <f>IF(WPArt=4,Sprache!B335&amp;" W10/W35",Sprache!B197&amp;" 35°C")</f>
        <v>Puissance de chauffe pour Tdép 35°C</v>
      </c>
      <c r="C27" s="116" t="s">
        <v>3650</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x14ac:dyDescent="0.2">
      <c r="B28" s="536" t="str">
        <f>IF(WPArt=4,Sprache!B336&amp;" W10W35",Sprache!B198&amp;" 35°C")</f>
        <v>COP à la température de départ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x14ac:dyDescent="0.2">
      <c r="B29" s="536" t="str">
        <f>IF(WPArt=4,Sprache!B335&amp;" W10/W55",Sprache!B197&amp;" 55°C")</f>
        <v>Puissance de chauffe pour Tdép 55°C</v>
      </c>
      <c r="C29" s="116" t="s">
        <v>3650</v>
      </c>
      <c r="D29" s="116"/>
      <c r="E29" s="529"/>
      <c r="F29" s="116"/>
      <c r="G29" s="529"/>
      <c r="H29" s="530"/>
      <c r="L29" s="20" t="str">
        <f>'WP1'!BG60</f>
        <v>Chauffage</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x14ac:dyDescent="0.2">
      <c r="B30" s="540" t="str">
        <f>IF(WPArt=4,Sprache!B336&amp;" W10W55",Sprache!B198&amp;" 55°C")</f>
        <v>COP à la température de départ 55°C</v>
      </c>
      <c r="C30" s="1010" t="s">
        <v>721</v>
      </c>
      <c r="D30" s="520"/>
      <c r="E30" s="531"/>
      <c r="F30" s="520"/>
      <c r="G30" s="531"/>
      <c r="H30" s="532"/>
      <c r="L30" s="20" t="str">
        <f>'WP1'!BG61</f>
        <v>ECS eau chaude sanitaire</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x14ac:dyDescent="0.2">
      <c r="B31" s="92" t="str">
        <f>IF(WPArt=4,Sprache!B88,Sprache!B70)</f>
        <v>Puissance électrique soutirée par pompe saumure:</v>
      </c>
      <c r="C31" s="250"/>
      <c r="D31" s="1262" t="str">
        <f>IF(H31&lt;&gt;"",IF('WP1'!W49&lt;IF(WPArt=3,'WP1'!X19,IF(WPArt=4,'WP1'!Z19,IF(WPArt=5,'WP1'!AB19,)))*40,Sprache!B338,""),"")</f>
        <v/>
      </c>
      <c r="E31" s="1263"/>
      <c r="F31" s="541" t="str">
        <f>IF(H31&lt;&gt;"",IF('WP1'!W49&lt;IF(WPArt=3,'WP1'!X19,IF(WPArt=4,'WP1'!Z19,IF(WPArt=5,'WP1'!AB19,)))*40,"0",""),"")</f>
        <v/>
      </c>
      <c r="G31" s="541" t="s">
        <v>724</v>
      </c>
      <c r="H31" s="544"/>
      <c r="K31" s="5" t="b">
        <f>IF(OR(Spez!L38,Spez!L46),TRUE,FALSE)</f>
        <v>0</v>
      </c>
      <c r="L31" s="20" t="str">
        <f>'WP1'!BG62</f>
        <v>Chauffage+ECS</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x14ac:dyDescent="0.2">
      <c r="B32" s="100" t="str">
        <f>IF(WPArt=3,Sprache!B79,IF(WPArt=5,Sprache!B80,""))</f>
        <v/>
      </c>
      <c r="D32" s="116" t="str">
        <f>IF(WPArt=3,Sprache!B72,IF(WPArt=5,"W/m2",""))</f>
        <v/>
      </c>
      <c r="E32" s="535"/>
      <c r="F32" s="116" t="str">
        <f>IF(WPArt=3,Sprache!B77,IF(WPArt=5,Sprache!B188,""))</f>
        <v/>
      </c>
      <c r="G32" s="190" t="str">
        <f>IF(WPArt=3,"m",IF(WPArt=5,"m2",""))</f>
        <v/>
      </c>
      <c r="H32" s="530"/>
      <c r="L32" s="25" t="str">
        <f>'WP1'!BG63</f>
        <v>Chauffage + production d'ECS décentralisée par PAC</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x14ac:dyDescent="0.25">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x14ac:dyDescent="0.25">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x14ac:dyDescent="0.25">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x14ac:dyDescent="0.2">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x14ac:dyDescent="0.2">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x14ac:dyDescent="0.2">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x14ac:dyDescent="0.2">
      <c r="B39" s="205" t="str">
        <f>IF(L23=5,Sprache!B50,"")</f>
        <v/>
      </c>
      <c r="C39" s="517"/>
      <c r="D39" s="517"/>
      <c r="E39" s="519"/>
      <c r="F39" s="549"/>
      <c r="G39" s="520" t="str">
        <f>IF(L23=5,"°C","")</f>
        <v/>
      </c>
      <c r="H39" s="1119"/>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x14ac:dyDescent="0.2">
      <c r="B40" s="92" t="str">
        <f>IF(WW,Sprache!B51,"")</f>
        <v/>
      </c>
      <c r="C40" s="250"/>
      <c r="D40" s="250"/>
      <c r="E40" s="346" t="str">
        <f>IF(AND(WW,AA27=1),Sprache!B24,"")</f>
        <v/>
      </c>
      <c r="F40" s="1252"/>
      <c r="G40" s="1253"/>
      <c r="H40" s="1254"/>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x14ac:dyDescent="0.2">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x14ac:dyDescent="0.2">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3650</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x14ac:dyDescent="0.2">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3650</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x14ac:dyDescent="0.25">
      <c r="B44" s="85" t="str">
        <f>Sprache!B31</f>
        <v>Installation solaire</v>
      </c>
      <c r="C44" s="551"/>
      <c r="D44" s="551"/>
      <c r="E44" s="731" t="str">
        <f>IF(AND(F44=""),Sprache!B24,"")</f>
        <v>choisir -&gt;</v>
      </c>
      <c r="F44" s="1266"/>
      <c r="G44" s="1267"/>
      <c r="H44" s="1268"/>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x14ac:dyDescent="0.2">
      <c r="B45" s="20" t="str">
        <f>Sprache!B55</f>
        <v>Surface des absorbeurs</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x14ac:dyDescent="0.2">
      <c r="B46" s="166" t="str">
        <f>Sprache!B56</f>
        <v>orientation / inclinaison des collecteurs</v>
      </c>
      <c r="C46" s="499"/>
      <c r="D46" s="499"/>
      <c r="E46" s="727" t="str">
        <f>'WP1'!E50</f>
        <v xml:space="preserve">Azimut [°]:  </v>
      </c>
      <c r="F46" s="343"/>
      <c r="G46" s="726" t="str">
        <f>'WP1'!G50</f>
        <v>Pente [°]:</v>
      </c>
      <c r="H46" s="173"/>
      <c r="L46" s="20"/>
      <c r="M46" s="21"/>
      <c r="N46" s="20"/>
      <c r="O46" s="21"/>
      <c r="P46" s="5"/>
      <c r="Q46" s="16" t="str">
        <f>Sprache!B333</f>
        <v>exclu el. add.</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x14ac:dyDescent="0.2">
      <c r="B47" s="166" t="str">
        <f>Sprache!B57</f>
        <v>Apport net par m2 d'absorbeur</v>
      </c>
      <c r="C47" s="499"/>
      <c r="D47" s="499"/>
      <c r="E47" s="689" t="str">
        <f>IF(_SIA384,Sprache!B269,Sprache!B140)</f>
        <v>valeur proposée:</v>
      </c>
      <c r="F47" s="690">
        <f>'WP1'!F51</f>
        <v>0</v>
      </c>
      <c r="G47" s="169" t="s">
        <v>938</v>
      </c>
      <c r="H47" s="173"/>
      <c r="L47" s="619" t="str">
        <f>Sprache!B284</f>
        <v>Entrées en bas</v>
      </c>
      <c r="M47" s="21"/>
      <c r="N47" s="20" t="str">
        <f>Sprache!B274</f>
        <v>Non disponibles</v>
      </c>
      <c r="O47" s="21"/>
      <c r="P47" s="5"/>
      <c r="Q47" s="25" t="str">
        <f>Sprache!B334</f>
        <v>y compris el. add.</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x14ac:dyDescent="0.2">
      <c r="B48" s="166" t="str">
        <f>IF(OR(MinSol,solarExtern),Sprache!B58,Sprache!B275)</f>
        <v>Spécifications du collecteur</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Liste des PAC</v>
      </c>
      <c r="M48" s="21"/>
      <c r="N48" s="20" t="str">
        <f>Sprache!B208</f>
        <v>Circulation d'ECS</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x14ac:dyDescent="0.2">
      <c r="B49" s="166" t="str">
        <f>Sprache!B59</f>
        <v>Taux de couverture solaire pour l'ECS</v>
      </c>
      <c r="C49" s="499"/>
      <c r="D49" s="499"/>
      <c r="E49" s="312"/>
      <c r="F49" s="840" t="s">
        <v>2310</v>
      </c>
      <c r="G49" s="42" t="s">
        <v>3643</v>
      </c>
      <c r="H49" s="695">
        <f>'WP1'!H53</f>
        <v>0</v>
      </c>
      <c r="L49" s="25" t="str">
        <f>Sprache!B286</f>
        <v>Entrées dans "Spez"</v>
      </c>
      <c r="M49" s="44"/>
      <c r="N49" s="25" t="str">
        <f>Sprache!B209</f>
        <v>Câble chauffant</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x14ac:dyDescent="0.2">
      <c r="B50" s="166" t="str">
        <f>Sprache!B60</f>
        <v>Taux de couverture solaire pour le chauffage</v>
      </c>
      <c r="C50" s="499"/>
      <c r="D50" s="499"/>
      <c r="E50" s="167"/>
      <c r="F50" s="840" t="s">
        <v>2310</v>
      </c>
      <c r="G50" s="42" t="s">
        <v>3643</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x14ac:dyDescent="0.2">
      <c r="B51" s="23"/>
      <c r="C51" s="23"/>
      <c r="D51" s="23"/>
      <c r="E51" s="176"/>
      <c r="F51" s="1210"/>
      <c r="G51" s="1210"/>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x14ac:dyDescent="0.25">
      <c r="B52" s="85" t="str">
        <f>Sprache!B32</f>
        <v>Résultats</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x14ac:dyDescent="0.25">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3670</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x14ac:dyDescent="0.25">
      <c r="B54" s="100" t="str">
        <f>'WP1'!B58</f>
        <v/>
      </c>
      <c r="C54" s="103"/>
      <c r="D54" s="103"/>
      <c r="E54" s="182" t="str">
        <f>'WP1'!E58</f>
        <v/>
      </c>
      <c r="F54" s="183" t="str">
        <f>'WP1'!F58</f>
        <v/>
      </c>
      <c r="G54" s="184" t="str">
        <f>'WP1'!G58</f>
        <v/>
      </c>
      <c r="H54" s="185">
        <f>'WP1'!H58</f>
        <v>0</v>
      </c>
      <c r="L54" s="709">
        <f>IF(O53&gt;1,H45,0)*WinkelKorr</f>
        <v>0</v>
      </c>
      <c r="M54" s="680" t="s">
        <v>1141</v>
      </c>
      <c r="N54" s="1000" t="str">
        <f>'WP1'!M58</f>
        <v>pas d'installation solaire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x14ac:dyDescent="0.2">
      <c r="B55" s="100" t="str">
        <f>Sprache!B38</f>
        <v>Pertes en mode chauffage (démarrage, accumulateur, etc.)</v>
      </c>
      <c r="C55" s="103"/>
      <c r="D55" s="103"/>
      <c r="E55" s="97"/>
      <c r="F55" s="187">
        <f>'WP1'!F59</f>
        <v>0</v>
      </c>
      <c r="G55" s="184" t="s">
        <v>3935</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x14ac:dyDescent="0.2">
      <c r="B56" s="100" t="str">
        <f>Sprache!B39</f>
        <v>Pertes en mode préparation d'ECS (démarrage, accumulateur, etc.)</v>
      </c>
      <c r="C56" s="103"/>
      <c r="D56" s="103"/>
      <c r="E56" s="97"/>
      <c r="F56" s="187">
        <f>'WP1'!F60</f>
        <v>0</v>
      </c>
      <c r="G56" s="184" t="s">
        <v>3937</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x14ac:dyDescent="0.2">
      <c r="B57" s="100" t="str">
        <f>Sprache!B40</f>
        <v>Durée de fonctionnement de la pompe à chaleur</v>
      </c>
      <c r="C57" s="499"/>
      <c r="D57" s="499"/>
      <c r="E57" s="167"/>
      <c r="F57" s="127"/>
      <c r="G57" s="190" t="s">
        <v>3940</v>
      </c>
      <c r="H57" s="191" t="str">
        <f>IF(AND(H8&gt;0,H9&gt;0),'WP1'!H61,"")</f>
        <v/>
      </c>
      <c r="K57" s="5" t="s">
        <v>1599</v>
      </c>
      <c r="L57" s="707"/>
      <c r="M57" s="287"/>
      <c r="N57" s="1001" t="str">
        <f>'WP1'!M61</f>
        <v>Chauffage solaire de l'ECS</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x14ac:dyDescent="0.25">
      <c r="B58" s="100" t="str">
        <f>Sprache!B41</f>
        <v>Part et COP annuel de la pompe à chaleur pour le chauffage</v>
      </c>
      <c r="C58" s="103"/>
      <c r="D58" s="103"/>
      <c r="E58" s="182" t="str">
        <f>'WP1'!E62</f>
        <v/>
      </c>
      <c r="F58" s="183" t="str">
        <f>IF(AND(H8&gt;0,H9&gt;0),'WP1'!F62,"")</f>
        <v/>
      </c>
      <c r="G58" s="194" t="s">
        <v>3944</v>
      </c>
      <c r="H58" s="195" t="str">
        <f>IF(AND(H8&gt;0,H9&gt;0),jazh,"")</f>
        <v/>
      </c>
      <c r="K58" s="217" t="e">
        <f ca="1">IF(H50&lt;1,IF(bivalent,jazh,(1-H50)/(F58/jazh+F53)),999)</f>
        <v>#VALUE!</v>
      </c>
      <c r="L58" s="233">
        <f>IF(O53&gt;1,H49,0)</f>
        <v>0</v>
      </c>
      <c r="M58" s="287" t="s">
        <v>936</v>
      </c>
      <c r="N58" s="1001" t="str">
        <f>'WP1'!M62</f>
        <v>Eau chaude sanitaire ECS + chauffage</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x14ac:dyDescent="0.25">
      <c r="B59" s="100" t="str">
        <f>Sprache!B42</f>
        <v>Part et COP annuel de la pompe à chaleur pour l'ECS</v>
      </c>
      <c r="C59" s="103"/>
      <c r="D59" s="103"/>
      <c r="E59" s="182" t="str">
        <f>'WP1'!E63</f>
        <v/>
      </c>
      <c r="F59" s="183" t="str">
        <f>IF(AND(H8&lt;&gt;"",H9&lt;&gt;""),'WP1'!F63,"")</f>
        <v/>
      </c>
      <c r="G59" s="194" t="s">
        <v>3948</v>
      </c>
      <c r="H59" s="196" t="str">
        <f>IF(AND(H8&lt;&gt;"",H9&lt;&gt;""),jazww,"")</f>
        <v/>
      </c>
      <c r="K59" s="217" t="e">
        <f>IF(H49&lt;1,(1-H49)/(F59/jazww+IF(F54&lt;&gt;"",F54,0)),999)</f>
        <v>#VALUE!</v>
      </c>
      <c r="L59" s="233">
        <f>IF(HeizungSolar,H50,0)</f>
        <v>0</v>
      </c>
      <c r="M59" s="287" t="s">
        <v>937</v>
      </c>
      <c r="N59" s="1001" t="str">
        <f>'WP1'!M63</f>
        <v>Chauffage solaire de l'ECS (calcul externe)</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x14ac:dyDescent="0.25">
      <c r="B60" s="205" t="str">
        <f>'WP1'!B66</f>
        <v>COP annuel pour chauffage et ECS (COPa [ch+ECS])</v>
      </c>
      <c r="C60" s="517"/>
      <c r="D60" s="517"/>
      <c r="E60" s="724" t="s">
        <v>1600</v>
      </c>
      <c r="F60" s="207"/>
      <c r="G60" s="208" t="str">
        <f>'WP1'!G66</f>
        <v>-</v>
      </c>
      <c r="H60" s="209" t="str">
        <f>IF(AND(H8&lt;&gt;"",H9&lt;&gt;""),IF(JAZel,K61,'WP1'!H66),"")</f>
        <v/>
      </c>
      <c r="K60" s="19" t="e">
        <f>IF(E60="",FALSE,IF(MATCH(E60,Q46:Q47,0)=2,TRUE,FALSE))</f>
        <v>#N/A</v>
      </c>
      <c r="L60" s="697" t="e">
        <f>IF(Qh+Qww=0,,IF(wwSolar,Q54,IF(HeizungSolar,R54,0)))</f>
        <v>#VALUE!</v>
      </c>
      <c r="M60" s="287" t="s">
        <v>1142</v>
      </c>
      <c r="N60" s="1002" t="str">
        <f>'WP1'!M64</f>
        <v>Eau chaude sanitaire ECS + chauffage (calcul externe)</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x14ac:dyDescent="0.2">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x14ac:dyDescent="0.2">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x14ac:dyDescent="0.2">
      <c r="B63" s="100" t="str">
        <f>Sprache!B43</f>
        <v xml:space="preserve">Facteur de pondération pour le chauffage: </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x14ac:dyDescent="0.2">
      <c r="B64" s="100" t="str">
        <f>Sprache!B44</f>
        <v>Facteur de pondération pour l'ECS</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x14ac:dyDescent="0.2">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x14ac:dyDescent="0.2">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x14ac:dyDescent="0.25">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x14ac:dyDescent="0.25">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x14ac:dyDescent="0.2">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x14ac:dyDescent="0.2">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x14ac:dyDescent="0.2">
      <c r="B71" s="335" t="s">
        <v>3667</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x14ac:dyDescent="0.2">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x14ac:dyDescent="0.2">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x14ac:dyDescent="0.2">
      <c r="B74" s="335" t="s">
        <v>3932</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x14ac:dyDescent="0.2">
      <c r="B75" s="335" t="s">
        <v>3933</v>
      </c>
      <c r="C75" s="251"/>
      <c r="D75" s="664"/>
      <c r="E75" s="450">
        <v>4324</v>
      </c>
      <c r="F75" s="317">
        <v>3.9</v>
      </c>
      <c r="G75" s="450">
        <v>-13</v>
      </c>
      <c r="H75" s="450">
        <v>5205</v>
      </c>
      <c r="L75" s="902">
        <v>2</v>
      </c>
      <c r="M75" s="991" t="str">
        <f>'WP1'!T134</f>
        <v>Pompe à chaleur air/eau une vitesse</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x14ac:dyDescent="0.2">
      <c r="B76" s="335" t="s">
        <v>3938</v>
      </c>
      <c r="C76" s="251"/>
      <c r="D76" s="664"/>
      <c r="E76" s="450">
        <v>4793</v>
      </c>
      <c r="F76" s="317">
        <v>0.9</v>
      </c>
      <c r="G76" s="450">
        <v>-10</v>
      </c>
      <c r="H76" s="450">
        <v>3774</v>
      </c>
      <c r="L76" s="902">
        <v>2</v>
      </c>
      <c r="M76" s="991" t="str">
        <f>'WP1'!T135</f>
        <v>Pompe à chaleur air/eau 2 vitesses</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x14ac:dyDescent="0.2">
      <c r="B77" s="335" t="s">
        <v>3945</v>
      </c>
      <c r="C77" s="251"/>
      <c r="D77" s="664"/>
      <c r="E77" s="450">
        <v>4496</v>
      </c>
      <c r="F77" s="317">
        <v>2.2000000000000002</v>
      </c>
      <c r="G77" s="450">
        <v>-11</v>
      </c>
      <c r="H77" s="450">
        <v>3852</v>
      </c>
      <c r="L77" s="902">
        <v>2</v>
      </c>
      <c r="M77" s="991" t="str">
        <f>'WP1'!T136</f>
        <v>Pompe à chaleur air/eau Plusieurs vitesses</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x14ac:dyDescent="0.2">
      <c r="B78" s="335" t="s">
        <v>910</v>
      </c>
      <c r="C78" s="251"/>
      <c r="D78" s="664"/>
      <c r="E78" s="450">
        <v>3998</v>
      </c>
      <c r="F78" s="317">
        <v>1.8</v>
      </c>
      <c r="G78" s="450">
        <v>-4</v>
      </c>
      <c r="H78" s="450">
        <v>2739</v>
      </c>
      <c r="L78" s="902">
        <v>2</v>
      </c>
      <c r="M78" s="991" t="str">
        <f>'WP1'!T137</f>
        <v>Pompe à chaleur air/eau vitesse variable</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x14ac:dyDescent="0.2">
      <c r="B79" s="335" t="s">
        <v>3952</v>
      </c>
      <c r="C79" s="251"/>
      <c r="D79" s="664"/>
      <c r="E79" s="450">
        <v>4453</v>
      </c>
      <c r="F79" s="317">
        <v>4.9000000000000004</v>
      </c>
      <c r="G79" s="450">
        <v>-8</v>
      </c>
      <c r="H79" s="450">
        <v>3410</v>
      </c>
      <c r="L79" s="902">
        <v>3</v>
      </c>
      <c r="M79" s="991" t="str">
        <f>'WP1'!T138</f>
        <v>Pompe à chaleur sol/eau une vitesse</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x14ac:dyDescent="0.2">
      <c r="B80" s="335" t="s">
        <v>913</v>
      </c>
      <c r="C80" s="251"/>
      <c r="D80" s="664"/>
      <c r="E80" s="450">
        <v>3809</v>
      </c>
      <c r="F80" s="317">
        <v>3.9</v>
      </c>
      <c r="G80" s="450">
        <v>-15</v>
      </c>
      <c r="H80" s="450">
        <v>7473</v>
      </c>
      <c r="L80" s="902">
        <v>3</v>
      </c>
      <c r="M80" s="991" t="str">
        <f>'WP1'!T139</f>
        <v>Pompe à chaleur sol/eau 2 vitesses</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x14ac:dyDescent="0.2">
      <c r="B81" s="335" t="s">
        <v>2353</v>
      </c>
      <c r="C81" s="251"/>
      <c r="D81" s="664"/>
      <c r="E81" s="450">
        <v>4868</v>
      </c>
      <c r="F81" s="317">
        <v>-0.5</v>
      </c>
      <c r="G81" s="450">
        <v>-7</v>
      </c>
      <c r="H81" s="450">
        <v>3316</v>
      </c>
      <c r="L81" s="902">
        <v>3</v>
      </c>
      <c r="M81" s="991" t="str">
        <f>'WP1'!T140</f>
        <v>Pompe à chaleur sol/eau Plusieurs vitesses</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x14ac:dyDescent="0.2">
      <c r="B82" s="335" t="s">
        <v>2354</v>
      </c>
      <c r="C82" s="251"/>
      <c r="D82" s="664"/>
      <c r="E82" s="450">
        <v>3981</v>
      </c>
      <c r="F82" s="317">
        <v>4.4000000000000004</v>
      </c>
      <c r="G82" s="450">
        <v>-10</v>
      </c>
      <c r="H82" s="450">
        <v>3786</v>
      </c>
      <c r="L82" s="902">
        <v>3</v>
      </c>
      <c r="M82" s="991" t="str">
        <f>'WP1'!T141</f>
        <v>Pompe à chaleur sol/eau vitesse variable</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x14ac:dyDescent="0.2">
      <c r="B83" s="335" t="s">
        <v>2123</v>
      </c>
      <c r="C83" s="251"/>
      <c r="D83" s="664"/>
      <c r="E83" s="450">
        <v>4101</v>
      </c>
      <c r="F83" s="317">
        <v>3.8</v>
      </c>
      <c r="G83" s="450">
        <v>-1</v>
      </c>
      <c r="H83" s="450">
        <v>2147</v>
      </c>
      <c r="L83" s="902">
        <v>4</v>
      </c>
      <c r="M83" s="991" t="str">
        <f>'WP1'!T142</f>
        <v>Pompe à chaleur eau/eau une vitesse</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x14ac:dyDescent="0.2">
      <c r="B84" s="335" t="s">
        <v>2125</v>
      </c>
      <c r="C84" s="251"/>
      <c r="D84" s="664"/>
      <c r="E84" s="450">
        <v>4163</v>
      </c>
      <c r="F84" s="317">
        <v>2.1</v>
      </c>
      <c r="G84" s="450">
        <v>-1</v>
      </c>
      <c r="H84" s="450">
        <v>2144</v>
      </c>
      <c r="L84" s="902">
        <v>4</v>
      </c>
      <c r="M84" s="991" t="str">
        <f>'WP1'!T143</f>
        <v>Pompe à chaleur eau/eau 2 vitesses</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x14ac:dyDescent="0.2">
      <c r="B85" s="335" t="s">
        <v>2127</v>
      </c>
      <c r="C85" s="251"/>
      <c r="D85" s="664"/>
      <c r="E85" s="450">
        <v>4158</v>
      </c>
      <c r="F85" s="317">
        <v>2.7</v>
      </c>
      <c r="G85" s="450">
        <v>-6</v>
      </c>
      <c r="H85" s="450">
        <v>2917</v>
      </c>
      <c r="L85" s="902">
        <v>4</v>
      </c>
      <c r="M85" s="991" t="str">
        <f>'WP1'!T144</f>
        <v>Pompe à chaleur eau/eau Plusieurs vitesses</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x14ac:dyDescent="0.2">
      <c r="B86" s="335" t="s">
        <v>2355</v>
      </c>
      <c r="C86" s="251"/>
      <c r="D86" s="664"/>
      <c r="E86" s="450">
        <v>4513</v>
      </c>
      <c r="F86" s="317">
        <v>5.8</v>
      </c>
      <c r="G86" s="450">
        <v>-3</v>
      </c>
      <c r="H86" s="450">
        <v>2377</v>
      </c>
      <c r="L86" s="902">
        <v>4</v>
      </c>
      <c r="M86" s="991" t="str">
        <f>'WP1'!T145</f>
        <v>Pompe à chaleur eau/eau vitesse variable</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x14ac:dyDescent="0.2">
      <c r="B87" s="335" t="s">
        <v>2129</v>
      </c>
      <c r="C87" s="251"/>
      <c r="D87" s="664"/>
      <c r="E87" s="450">
        <v>4429</v>
      </c>
      <c r="F87" s="317">
        <v>5.8</v>
      </c>
      <c r="G87" s="450">
        <v>-10</v>
      </c>
      <c r="H87" s="450">
        <v>4274</v>
      </c>
      <c r="L87" s="902">
        <v>5</v>
      </c>
      <c r="M87" s="991" t="str">
        <f>'WP1'!T146</f>
        <v>PAC avec collecteur terrestre une vitesse</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x14ac:dyDescent="0.2">
      <c r="B88" s="335" t="s">
        <v>2130</v>
      </c>
      <c r="C88" s="251"/>
      <c r="D88" s="664"/>
      <c r="E88" s="450">
        <v>3767</v>
      </c>
      <c r="F88" s="317">
        <v>3.9</v>
      </c>
      <c r="G88" s="450">
        <v>-5</v>
      </c>
      <c r="H88" s="450">
        <v>2799</v>
      </c>
      <c r="L88" s="902">
        <v>5</v>
      </c>
      <c r="M88" s="991" t="str">
        <f>'WP1'!T147</f>
        <v>PAC avec collecteur terrestre 2 vitesses</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x14ac:dyDescent="0.2">
      <c r="B89" s="335" t="s">
        <v>2356</v>
      </c>
      <c r="C89" s="251"/>
      <c r="D89" s="664"/>
      <c r="E89" s="450">
        <v>4321</v>
      </c>
      <c r="F89" s="317">
        <v>4.3</v>
      </c>
      <c r="G89" s="450">
        <v>-7</v>
      </c>
      <c r="H89" s="450">
        <v>2968</v>
      </c>
      <c r="L89" s="902">
        <v>5</v>
      </c>
      <c r="M89" s="991" t="str">
        <f>'WP1'!T148</f>
        <v>PAC avec collecteur terrestre Plusieurs vitesses</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x14ac:dyDescent="0.2">
      <c r="B90" s="335" t="s">
        <v>2132</v>
      </c>
      <c r="C90" s="251"/>
      <c r="D90" s="664"/>
      <c r="E90" s="450">
        <v>5040</v>
      </c>
      <c r="F90" s="317">
        <v>2.4</v>
      </c>
      <c r="G90" s="450">
        <v>-8</v>
      </c>
      <c r="H90" s="450">
        <v>3740</v>
      </c>
      <c r="L90" s="902">
        <v>5</v>
      </c>
      <c r="M90" s="991" t="str">
        <f>'WP1'!T149</f>
        <v>PAC avec collecteur terrestre vitesse variable</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x14ac:dyDescent="0.2">
      <c r="B91" s="335" t="s">
        <v>2357</v>
      </c>
      <c r="C91" s="251"/>
      <c r="D91" s="664"/>
      <c r="E91" s="450">
        <v>4018</v>
      </c>
      <c r="F91" s="317">
        <v>4.5</v>
      </c>
      <c r="G91" s="450">
        <v>-18</v>
      </c>
      <c r="H91" s="450">
        <v>6121</v>
      </c>
      <c r="L91" s="902">
        <v>6</v>
      </c>
      <c r="M91" s="991" t="str">
        <f>'WP1'!T150</f>
        <v>PAC sur air extrait sur installation de ventilation sans récupération de chaleur</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x14ac:dyDescent="0.2">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x14ac:dyDescent="0.2">
      <c r="B93" s="335" t="s">
        <v>3891</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x14ac:dyDescent="0.2">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x14ac:dyDescent="0.2">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x14ac:dyDescent="0.2">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x14ac:dyDescent="0.2">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x14ac:dyDescent="0.2">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x14ac:dyDescent="0.2">
      <c r="B99" s="335" t="s">
        <v>3892</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x14ac:dyDescent="0.2">
      <c r="B100" s="315" t="s">
        <v>3893</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x14ac:dyDescent="0.2">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x14ac:dyDescent="0.2">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x14ac:dyDescent="0.2">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x14ac:dyDescent="0.2">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x14ac:dyDescent="0.2">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x14ac:dyDescent="0.2">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x14ac:dyDescent="0.2">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x14ac:dyDescent="0.2">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x14ac:dyDescent="0.2">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x14ac:dyDescent="0.2">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x14ac:dyDescent="0.2">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x14ac:dyDescent="0.2">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x14ac:dyDescent="0.2">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x14ac:dyDescent="0.2">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x14ac:dyDescent="0.2">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x14ac:dyDescent="0.2">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x14ac:dyDescent="0.2">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x14ac:dyDescent="0.2">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x14ac:dyDescent="0.2">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x14ac:dyDescent="0.2">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x14ac:dyDescent="0.2">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x14ac:dyDescent="0.2">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x14ac:dyDescent="0.2">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x14ac:dyDescent="0.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x14ac:dyDescent="0.2">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x14ac:dyDescent="0.2">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x14ac:dyDescent="0.2">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x14ac:dyDescent="0.2">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x14ac:dyDescent="0.2">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x14ac:dyDescent="0.2">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x14ac:dyDescent="0.2">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x14ac:dyDescent="0.2">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x14ac:dyDescent="0.2">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x14ac:dyDescent="0.2">
      <c r="L134" s="5"/>
      <c r="M134" s="5"/>
      <c r="N134" s="5"/>
      <c r="O134" s="5"/>
      <c r="P134" s="5"/>
      <c r="Q134" s="5"/>
      <c r="R134" s="5"/>
      <c r="S134" s="5"/>
      <c r="AJ134" s="5"/>
      <c r="AK134" s="19"/>
      <c r="AL134" s="19"/>
      <c r="AM134" s="5"/>
      <c r="AN134" s="5"/>
      <c r="AO134" s="5"/>
      <c r="DD134" s="5"/>
      <c r="DE134" s="5"/>
    </row>
    <row r="135" spans="12:109" ht="16.149999999999999" customHeight="1" x14ac:dyDescent="0.2">
      <c r="L135" s="5"/>
      <c r="M135" s="5"/>
      <c r="N135" s="5"/>
      <c r="O135" s="5"/>
      <c r="P135" s="5"/>
      <c r="Q135" s="5"/>
      <c r="R135" s="5"/>
      <c r="S135" s="5"/>
      <c r="AJ135" s="5"/>
      <c r="AK135" s="19"/>
      <c r="AL135" s="19"/>
      <c r="AM135" s="5"/>
      <c r="AN135" s="5"/>
      <c r="AO135" s="5"/>
      <c r="DD135" s="5"/>
      <c r="DE135" s="5"/>
    </row>
    <row r="136" spans="12:109" ht="16.149999999999999" customHeight="1" x14ac:dyDescent="0.2">
      <c r="L136" s="5"/>
      <c r="M136" s="5"/>
      <c r="N136" s="5"/>
      <c r="O136" s="5"/>
      <c r="P136" s="5"/>
      <c r="Q136" s="5"/>
      <c r="R136" s="5"/>
      <c r="S136" s="5"/>
      <c r="AJ136" s="5"/>
      <c r="AK136" s="19"/>
      <c r="AL136" s="19"/>
      <c r="AM136" s="5"/>
      <c r="AN136" s="5"/>
      <c r="AO136" s="5"/>
      <c r="DD136" s="5"/>
      <c r="DE136" s="5"/>
    </row>
    <row r="137" spans="12:109" ht="16.149999999999999" customHeight="1" x14ac:dyDescent="0.2">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x14ac:dyDescent="0.2">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x14ac:dyDescent="0.2">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x14ac:dyDescent="0.2">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x14ac:dyDescent="0.2">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x14ac:dyDescent="0.2">
      <c r="L142" s="5"/>
      <c r="M142" s="5"/>
      <c r="N142" s="5"/>
      <c r="O142" s="5"/>
      <c r="P142" s="5"/>
      <c r="Q142" s="5"/>
      <c r="R142" s="5"/>
      <c r="S142" s="5"/>
      <c r="AJ142" s="5"/>
      <c r="AK142" s="19"/>
      <c r="AL142" s="19"/>
      <c r="AM142" s="5"/>
      <c r="AN142" s="5"/>
      <c r="AO142" s="5"/>
      <c r="DD142" s="5"/>
      <c r="DE142" s="5"/>
    </row>
    <row r="143" spans="12:109" ht="16.149999999999999" customHeight="1" x14ac:dyDescent="0.2">
      <c r="L143" s="5"/>
      <c r="M143" s="5"/>
      <c r="N143" s="5"/>
      <c r="O143" s="5"/>
      <c r="P143" s="5"/>
      <c r="Q143" s="5"/>
      <c r="R143" s="5"/>
      <c r="S143" s="5"/>
      <c r="AJ143" s="5"/>
      <c r="AK143" s="19"/>
      <c r="AL143" s="19"/>
      <c r="AM143" s="5"/>
      <c r="AN143" s="5"/>
      <c r="AO143" s="5"/>
      <c r="DD143" s="5"/>
      <c r="DE143" s="5"/>
    </row>
    <row r="144" spans="12:109" ht="16.149999999999999" customHeight="1" x14ac:dyDescent="0.2">
      <c r="L144" s="5"/>
      <c r="M144" s="5"/>
      <c r="N144" s="5"/>
      <c r="O144" s="5"/>
      <c r="P144" s="5"/>
      <c r="Q144" s="5"/>
      <c r="R144" s="5"/>
      <c r="S144" s="5"/>
      <c r="AJ144" s="5"/>
      <c r="AK144" s="19"/>
      <c r="AL144" s="19"/>
      <c r="AM144" s="5"/>
      <c r="AN144" s="5"/>
      <c r="AO144" s="5"/>
      <c r="DD144" s="5"/>
      <c r="DE144" s="5"/>
    </row>
    <row r="145" spans="12:109" ht="16.149999999999999" customHeight="1" x14ac:dyDescent="0.2">
      <c r="L145" s="5"/>
      <c r="M145" s="5"/>
      <c r="N145" s="5"/>
      <c r="O145" s="5"/>
      <c r="P145" s="5"/>
      <c r="Q145" s="5"/>
      <c r="R145" s="5"/>
      <c r="S145" s="5"/>
      <c r="AJ145" s="5"/>
      <c r="AK145" s="19"/>
      <c r="AL145" s="19"/>
      <c r="AM145" s="5"/>
      <c r="AN145" s="5"/>
      <c r="AO145" s="5"/>
      <c r="DD145" s="5"/>
      <c r="DE145" s="5"/>
    </row>
    <row r="146" spans="12:109" ht="16.149999999999999" customHeight="1" x14ac:dyDescent="0.2">
      <c r="L146" s="5"/>
      <c r="M146" s="5"/>
      <c r="N146" s="5"/>
      <c r="O146" s="5"/>
      <c r="P146" s="5"/>
      <c r="Q146" s="5"/>
      <c r="R146" s="5"/>
      <c r="S146" s="5"/>
      <c r="AJ146" s="5"/>
      <c r="AK146" s="19"/>
      <c r="AL146" s="19"/>
      <c r="AM146" s="19"/>
      <c r="AN146" s="19"/>
      <c r="AO146" s="19"/>
      <c r="AP146" s="19"/>
      <c r="AQ146" s="19"/>
      <c r="DD146" s="5"/>
      <c r="DE146" s="5"/>
    </row>
    <row r="147" spans="12:109" ht="16.149999999999999" customHeight="1" x14ac:dyDescent="0.2">
      <c r="L147" s="5"/>
      <c r="M147" s="5"/>
      <c r="N147" s="5"/>
      <c r="O147" s="5"/>
      <c r="P147" s="5"/>
      <c r="Q147" s="5"/>
      <c r="R147" s="5"/>
      <c r="S147" s="5"/>
      <c r="AJ147" s="5"/>
      <c r="AK147" s="19"/>
      <c r="AL147" s="19"/>
      <c r="AM147" s="19"/>
      <c r="AN147" s="19"/>
      <c r="AO147" s="19"/>
      <c r="AP147" s="19"/>
      <c r="AQ147" s="19"/>
      <c r="DD147" s="5"/>
      <c r="DE147" s="5"/>
    </row>
    <row r="148" spans="12:109" ht="16.149999999999999" customHeight="1" x14ac:dyDescent="0.2">
      <c r="L148" s="5"/>
      <c r="M148" s="5"/>
      <c r="N148" s="5"/>
      <c r="O148" s="5"/>
      <c r="P148" s="5"/>
      <c r="Q148" s="5"/>
      <c r="R148" s="5"/>
      <c r="S148" s="5"/>
      <c r="AJ148" s="5"/>
      <c r="AK148" s="19"/>
      <c r="AL148" s="19"/>
      <c r="AM148" s="19"/>
      <c r="AN148" s="19"/>
      <c r="AO148" s="19"/>
      <c r="AP148" s="19"/>
      <c r="AQ148" s="19"/>
      <c r="DD148" s="5"/>
      <c r="DE148" s="5"/>
    </row>
    <row r="149" spans="12:109" ht="16.149999999999999" customHeight="1" x14ac:dyDescent="0.2">
      <c r="L149" s="5"/>
      <c r="M149" s="5"/>
      <c r="N149" s="5"/>
      <c r="O149" s="5"/>
      <c r="P149" s="5"/>
      <c r="Q149" s="5"/>
      <c r="R149" s="5"/>
      <c r="S149" s="5"/>
      <c r="AJ149" s="5"/>
      <c r="AK149" s="19"/>
      <c r="AL149" s="19"/>
      <c r="AM149" s="19"/>
      <c r="AN149" s="19"/>
      <c r="AO149" s="19"/>
      <c r="AP149" s="19"/>
      <c r="AQ149" s="19"/>
      <c r="DD149" s="5"/>
      <c r="DE149" s="5"/>
    </row>
    <row r="150" spans="12:109" ht="16.149999999999999" customHeight="1" x14ac:dyDescent="0.2">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x14ac:dyDescent="0.2">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x14ac:dyDescent="0.2">
      <c r="S152" s="129"/>
      <c r="T152" s="129"/>
      <c r="U152" s="5"/>
      <c r="AJ152" s="5"/>
      <c r="AK152" s="19"/>
      <c r="AL152" s="19"/>
      <c r="AM152" s="19"/>
      <c r="AN152" s="19"/>
      <c r="AO152" s="19"/>
      <c r="AP152" s="19"/>
      <c r="AQ152" s="19"/>
      <c r="DD152" s="5"/>
      <c r="DE152" s="5"/>
    </row>
    <row r="153" spans="12:109" ht="16.149999999999999" customHeight="1" x14ac:dyDescent="0.2">
      <c r="S153" s="129"/>
      <c r="T153" s="129"/>
      <c r="U153" s="5"/>
      <c r="AJ153" s="5"/>
      <c r="AK153" s="19"/>
      <c r="AL153" s="19"/>
      <c r="AM153" s="19"/>
      <c r="AN153" s="19"/>
      <c r="AO153" s="19"/>
      <c r="AP153" s="19"/>
      <c r="AQ153" s="19"/>
      <c r="DD153" s="5"/>
      <c r="DE153" s="5"/>
    </row>
    <row r="154" spans="12:109" ht="16.149999999999999" customHeight="1" x14ac:dyDescent="0.2">
      <c r="S154" s="129"/>
      <c r="T154" s="129"/>
      <c r="U154" s="5"/>
      <c r="AJ154" s="19"/>
      <c r="AK154" s="5"/>
      <c r="AL154" s="5"/>
      <c r="AM154" s="19"/>
      <c r="AN154" s="19"/>
      <c r="AO154" s="19"/>
      <c r="AP154" s="19"/>
      <c r="AQ154" s="19"/>
      <c r="DD154" s="5"/>
      <c r="DE154" s="5"/>
    </row>
    <row r="155" spans="12:109" ht="16.149999999999999" customHeight="1" x14ac:dyDescent="0.2">
      <c r="S155" s="129"/>
      <c r="T155" s="129"/>
      <c r="U155" s="5"/>
      <c r="AJ155" s="258"/>
      <c r="AK155" s="5"/>
      <c r="AL155" s="5"/>
      <c r="AM155" s="19"/>
      <c r="AN155" s="19"/>
      <c r="AO155" s="19"/>
      <c r="AP155" s="19"/>
      <c r="AQ155" s="19"/>
      <c r="DD155" s="5"/>
      <c r="DE155" s="5"/>
    </row>
    <row r="156" spans="12:109" ht="16.149999999999999" customHeight="1" x14ac:dyDescent="0.2">
      <c r="S156" s="129"/>
      <c r="T156" s="129"/>
      <c r="U156" s="5"/>
      <c r="AJ156" s="258"/>
      <c r="AK156" s="5"/>
      <c r="AL156" s="5"/>
      <c r="AM156" s="19"/>
      <c r="AN156" s="19"/>
      <c r="AO156" s="19"/>
      <c r="AP156" s="19"/>
      <c r="AQ156" s="19"/>
      <c r="DD156" s="5"/>
      <c r="DE156" s="5"/>
    </row>
    <row r="157" spans="12:109" ht="16.149999999999999" customHeight="1" x14ac:dyDescent="0.2">
      <c r="S157" s="129"/>
      <c r="T157" s="129"/>
      <c r="U157" s="5"/>
      <c r="AJ157" s="258"/>
      <c r="AK157" s="5"/>
      <c r="AL157" s="5"/>
      <c r="AM157" s="19"/>
      <c r="AN157" s="19"/>
      <c r="AO157" s="19"/>
      <c r="AP157" s="19"/>
      <c r="AQ157" s="19"/>
      <c r="DD157" s="5"/>
      <c r="DE157" s="5"/>
    </row>
    <row r="158" spans="12:109" ht="16.149999999999999" customHeight="1" x14ac:dyDescent="0.2">
      <c r="S158" s="129"/>
      <c r="T158" s="129"/>
      <c r="U158" s="5"/>
      <c r="AJ158" s="258"/>
      <c r="AK158" s="5"/>
      <c r="AL158" s="5"/>
      <c r="AM158" s="19"/>
      <c r="AN158" s="19"/>
      <c r="AO158" s="19"/>
      <c r="AP158" s="19"/>
      <c r="AQ158" s="19"/>
      <c r="DD158" s="5"/>
      <c r="DE158" s="5"/>
    </row>
    <row r="159" spans="12:109" ht="16.149999999999999" customHeight="1" x14ac:dyDescent="0.2">
      <c r="S159" s="129"/>
      <c r="T159" s="129"/>
      <c r="U159" s="5"/>
      <c r="AJ159" s="258"/>
      <c r="AK159" s="5"/>
      <c r="AL159" s="5"/>
      <c r="AM159" s="19"/>
      <c r="AN159" s="19"/>
      <c r="AO159" s="19"/>
      <c r="AP159" s="19"/>
      <c r="AQ159" s="19"/>
      <c r="DD159" s="5"/>
      <c r="DE159" s="5"/>
    </row>
    <row r="160" spans="12:109" ht="15.6" customHeight="1" x14ac:dyDescent="0.2">
      <c r="S160" s="129"/>
      <c r="T160" s="129"/>
      <c r="U160" s="5"/>
      <c r="AJ160" s="258"/>
      <c r="AK160" s="5"/>
      <c r="AL160" s="5"/>
      <c r="AM160" s="19"/>
      <c r="AN160" s="19"/>
      <c r="AO160" s="19"/>
      <c r="AP160" s="19"/>
      <c r="AQ160" s="19"/>
      <c r="DD160" s="5"/>
      <c r="DE160" s="5"/>
    </row>
    <row r="161" spans="19:109" ht="16.149999999999999" customHeight="1" x14ac:dyDescent="0.2">
      <c r="S161" s="129"/>
      <c r="T161" s="129"/>
      <c r="U161" s="5"/>
      <c r="AJ161" s="258"/>
      <c r="AK161" s="5"/>
      <c r="AL161" s="5"/>
      <c r="AM161" s="19"/>
      <c r="AN161" s="19"/>
      <c r="AO161" s="19"/>
      <c r="AP161" s="19"/>
      <c r="AQ161" s="19"/>
      <c r="DD161" s="5"/>
      <c r="DE161" s="5"/>
    </row>
    <row r="162" spans="19:109" ht="16.149999999999999" customHeight="1" x14ac:dyDescent="0.2">
      <c r="S162" s="129"/>
      <c r="T162" s="129"/>
      <c r="U162" s="5"/>
      <c r="AJ162" s="258"/>
      <c r="AK162" s="5"/>
      <c r="AL162" s="5"/>
      <c r="AM162" s="19"/>
      <c r="AN162" s="19"/>
      <c r="AO162" s="19"/>
      <c r="AP162" s="19"/>
      <c r="AQ162" s="19"/>
      <c r="DD162" s="5"/>
      <c r="DE162" s="5"/>
    </row>
    <row r="163" spans="19:109" ht="16.149999999999999" customHeight="1" x14ac:dyDescent="0.2">
      <c r="S163" s="129"/>
      <c r="T163" s="129"/>
      <c r="U163" s="5"/>
      <c r="AJ163" s="258"/>
      <c r="AK163" s="5"/>
      <c r="AL163" s="5"/>
      <c r="AM163" s="19"/>
      <c r="AN163" s="19"/>
      <c r="AO163" s="19"/>
      <c r="AP163" s="19"/>
      <c r="AQ163" s="19"/>
      <c r="DD163" s="5"/>
      <c r="DE163" s="5"/>
    </row>
    <row r="164" spans="19:109" ht="16.149999999999999" customHeight="1" x14ac:dyDescent="0.2">
      <c r="S164" s="129"/>
      <c r="T164" s="129"/>
      <c r="U164" s="5"/>
      <c r="AJ164" s="258"/>
      <c r="AK164" s="5"/>
      <c r="AL164" s="5"/>
      <c r="AM164" s="19"/>
      <c r="AN164" s="19"/>
      <c r="AO164" s="19"/>
      <c r="AP164" s="19"/>
      <c r="AQ164" s="19"/>
      <c r="DD164" s="5"/>
      <c r="DE164" s="5"/>
    </row>
    <row r="165" spans="19:109" ht="16.149999999999999" customHeight="1" x14ac:dyDescent="0.2">
      <c r="S165" s="129"/>
      <c r="T165" s="129"/>
      <c r="U165" s="5"/>
      <c r="AJ165" s="258"/>
      <c r="AK165" s="5"/>
      <c r="AL165" s="5"/>
      <c r="AM165" s="19"/>
      <c r="AN165" s="19"/>
      <c r="AO165" s="19"/>
      <c r="AP165" s="19"/>
      <c r="AQ165" s="19"/>
      <c r="DD165" s="5"/>
      <c r="DE165" s="5"/>
    </row>
    <row r="166" spans="19:109" ht="16.149999999999999" customHeight="1" x14ac:dyDescent="0.2">
      <c r="S166" s="129"/>
      <c r="T166" s="129"/>
      <c r="U166" s="5"/>
      <c r="AJ166" s="258"/>
      <c r="AK166" s="5"/>
      <c r="AL166" s="5"/>
      <c r="AM166" s="19"/>
      <c r="AN166" s="19"/>
      <c r="AO166" s="19"/>
      <c r="AP166" s="19"/>
      <c r="AQ166" s="19"/>
      <c r="DD166" s="5"/>
      <c r="DE166" s="5"/>
    </row>
    <row r="167" spans="19:109" ht="16.149999999999999" customHeight="1" x14ac:dyDescent="0.2">
      <c r="S167" s="129"/>
      <c r="T167" s="129"/>
      <c r="U167" s="5"/>
      <c r="AJ167" s="258"/>
      <c r="AK167" s="5"/>
      <c r="AL167" s="5"/>
      <c r="AM167" s="19"/>
      <c r="AN167" s="19"/>
      <c r="AO167" s="19"/>
      <c r="AP167" s="19"/>
      <c r="AQ167" s="19"/>
      <c r="DD167" s="5"/>
      <c r="DE167" s="5"/>
    </row>
    <row r="168" spans="19:109" ht="16.149999999999999" customHeight="1" x14ac:dyDescent="0.2">
      <c r="S168" s="129"/>
      <c r="T168" s="129"/>
      <c r="U168" s="5"/>
      <c r="AJ168" s="258"/>
      <c r="AK168" s="5"/>
      <c r="AL168" s="5"/>
      <c r="AM168" s="19"/>
      <c r="AN168" s="19"/>
      <c r="AO168" s="19"/>
      <c r="AP168" s="19"/>
      <c r="AQ168" s="19"/>
      <c r="DD168" s="5"/>
      <c r="DE168" s="5"/>
    </row>
    <row r="169" spans="19:109" ht="16.149999999999999" customHeight="1" x14ac:dyDescent="0.2">
      <c r="S169" s="129"/>
      <c r="T169" s="129"/>
      <c r="U169" s="5"/>
      <c r="AJ169" s="5"/>
      <c r="AK169" s="5"/>
      <c r="AL169" s="5"/>
      <c r="AM169" s="19"/>
      <c r="AN169" s="19"/>
      <c r="AO169" s="19"/>
      <c r="AP169" s="19"/>
      <c r="AQ169" s="19"/>
      <c r="DD169" s="5"/>
      <c r="DE169" s="5"/>
    </row>
    <row r="170" spans="19:109" ht="16.149999999999999" customHeight="1" x14ac:dyDescent="0.2">
      <c r="S170" s="129"/>
      <c r="T170" s="129"/>
      <c r="U170" s="5"/>
      <c r="AJ170" s="258"/>
      <c r="AK170" s="5"/>
      <c r="AL170" s="5"/>
      <c r="AM170" s="19"/>
      <c r="AN170" s="19"/>
      <c r="AO170" s="19"/>
      <c r="AP170" s="19"/>
      <c r="AQ170" s="19"/>
      <c r="DD170" s="5"/>
      <c r="DE170" s="5"/>
    </row>
    <row r="171" spans="19:109" ht="16.149999999999999" customHeight="1" x14ac:dyDescent="0.2">
      <c r="S171" s="129"/>
      <c r="T171" s="129"/>
      <c r="U171" s="5"/>
      <c r="AJ171" s="258"/>
      <c r="AK171" s="5"/>
      <c r="AL171" s="5"/>
      <c r="AM171" s="19"/>
      <c r="AN171" s="19"/>
      <c r="AO171" s="19"/>
      <c r="AP171" s="19"/>
      <c r="AQ171" s="19"/>
      <c r="DD171" s="5"/>
      <c r="DE171" s="5"/>
    </row>
    <row r="172" spans="19:109" ht="16.149999999999999" customHeight="1" x14ac:dyDescent="0.2">
      <c r="S172" s="129"/>
      <c r="T172" s="129"/>
      <c r="U172" s="5"/>
      <c r="AJ172" s="258"/>
      <c r="AK172" s="5"/>
      <c r="AL172" s="5"/>
      <c r="AM172" s="19"/>
      <c r="AN172" s="19"/>
      <c r="AO172" s="19"/>
      <c r="AP172" s="19"/>
      <c r="AQ172" s="19"/>
      <c r="DD172" s="5"/>
      <c r="DE172" s="5"/>
    </row>
    <row r="173" spans="19:109" ht="16.149999999999999" customHeight="1" x14ac:dyDescent="0.2">
      <c r="S173" s="129"/>
      <c r="T173" s="129"/>
      <c r="U173" s="302"/>
      <c r="AJ173" s="258"/>
      <c r="AK173" s="5"/>
      <c r="AL173" s="5"/>
      <c r="AM173" s="19"/>
      <c r="AN173" s="19"/>
      <c r="AO173" s="19"/>
      <c r="AP173" s="19"/>
      <c r="AQ173" s="19"/>
      <c r="DD173" s="5"/>
      <c r="DE173" s="5"/>
    </row>
    <row r="174" spans="19:109" ht="16.149999999999999" customHeight="1" x14ac:dyDescent="0.2">
      <c r="S174" s="129"/>
      <c r="T174" s="129"/>
      <c r="U174" s="302"/>
      <c r="AJ174" s="258"/>
      <c r="AK174" s="5"/>
      <c r="AL174" s="5"/>
      <c r="AM174" s="19"/>
      <c r="AN174" s="19"/>
      <c r="AO174" s="19"/>
      <c r="AP174" s="19"/>
      <c r="AQ174" s="19"/>
      <c r="DD174" s="5"/>
      <c r="DE174" s="5"/>
    </row>
    <row r="175" spans="19:109" ht="16.149999999999999" customHeight="1" x14ac:dyDescent="0.2">
      <c r="S175" s="129"/>
      <c r="T175" s="129"/>
      <c r="U175" s="302"/>
      <c r="AJ175" s="258"/>
      <c r="AK175" s="5"/>
      <c r="AL175" s="5"/>
      <c r="AM175" s="19"/>
      <c r="AN175" s="19"/>
      <c r="AO175" s="19"/>
      <c r="AP175" s="19"/>
      <c r="AQ175" s="19"/>
      <c r="DD175" s="5"/>
      <c r="DE175" s="5"/>
    </row>
    <row r="176" spans="19:109" ht="16.149999999999999" customHeight="1" x14ac:dyDescent="0.2">
      <c r="S176" s="129"/>
      <c r="T176" s="129"/>
      <c r="U176" s="302"/>
      <c r="AJ176" s="258"/>
      <c r="AK176" s="5"/>
      <c r="AL176" s="5"/>
      <c r="AM176" s="19"/>
      <c r="AN176" s="19"/>
      <c r="AO176" s="19"/>
      <c r="AP176" s="19"/>
      <c r="AQ176" s="19"/>
      <c r="DD176" s="5"/>
      <c r="DE176" s="5"/>
    </row>
    <row r="177" spans="19:109" ht="16.149999999999999" customHeight="1" x14ac:dyDescent="0.2">
      <c r="S177" s="129"/>
      <c r="T177" s="129"/>
      <c r="U177" s="302"/>
      <c r="AJ177" s="258"/>
      <c r="AK177" s="5"/>
      <c r="AL177" s="5"/>
      <c r="AM177" s="19"/>
      <c r="AN177" s="19"/>
      <c r="AO177" s="19"/>
      <c r="AP177" s="19"/>
      <c r="AQ177" s="19"/>
      <c r="DD177" s="5"/>
      <c r="DE177" s="5"/>
    </row>
    <row r="178" spans="19:109" ht="16.149999999999999" customHeight="1" x14ac:dyDescent="0.2">
      <c r="S178" s="129"/>
      <c r="T178" s="129"/>
      <c r="U178" s="302"/>
      <c r="AJ178" s="258"/>
      <c r="AK178" s="5"/>
      <c r="AL178" s="5"/>
      <c r="AM178" s="19"/>
      <c r="AN178" s="19"/>
      <c r="AO178" s="19"/>
      <c r="AP178" s="19"/>
      <c r="AQ178" s="19"/>
      <c r="DD178" s="5"/>
      <c r="DE178" s="5"/>
    </row>
    <row r="179" spans="19:109" ht="16.149999999999999" customHeight="1" x14ac:dyDescent="0.2">
      <c r="S179" s="129"/>
      <c r="T179" s="129"/>
      <c r="U179" s="302"/>
      <c r="AJ179" s="258"/>
      <c r="AK179" s="5"/>
      <c r="AL179" s="5"/>
      <c r="AM179" s="19"/>
      <c r="AN179" s="19"/>
      <c r="AO179" s="19"/>
      <c r="AP179" s="19"/>
      <c r="AQ179" s="19"/>
      <c r="DD179" s="5"/>
      <c r="DE179" s="5"/>
    </row>
    <row r="180" spans="19:109" ht="16.149999999999999" customHeight="1" x14ac:dyDescent="0.2">
      <c r="S180" s="129"/>
      <c r="T180" s="129"/>
      <c r="U180" s="302"/>
      <c r="AJ180" s="258"/>
      <c r="AK180" s="5"/>
      <c r="AL180" s="5"/>
      <c r="AM180" s="19"/>
      <c r="AN180" s="19"/>
      <c r="AO180" s="19"/>
      <c r="AP180" s="19"/>
      <c r="AQ180" s="19"/>
      <c r="DD180" s="5"/>
      <c r="DE180" s="5"/>
    </row>
    <row r="181" spans="19:109" ht="16.149999999999999" customHeight="1" x14ac:dyDescent="0.2">
      <c r="S181" s="129"/>
      <c r="T181" s="129"/>
      <c r="U181" s="302"/>
      <c r="AJ181" s="258"/>
      <c r="AK181" s="5"/>
      <c r="AL181" s="5"/>
      <c r="AM181" s="19"/>
      <c r="AN181" s="19"/>
      <c r="AO181" s="19"/>
      <c r="AP181" s="19"/>
      <c r="AQ181" s="19"/>
      <c r="DD181" s="5"/>
      <c r="DE181" s="5"/>
    </row>
    <row r="182" spans="19:109" ht="16.149999999999999" customHeight="1" x14ac:dyDescent="0.2">
      <c r="S182" s="129"/>
      <c r="T182" s="129"/>
      <c r="U182" s="302"/>
      <c r="AJ182" s="258"/>
      <c r="AK182" s="5"/>
      <c r="AL182" s="5"/>
      <c r="AM182" s="19"/>
      <c r="AN182" s="19"/>
      <c r="AO182" s="19"/>
      <c r="AP182" s="19"/>
      <c r="AQ182" s="19"/>
      <c r="DD182" s="5"/>
      <c r="DE182" s="5"/>
    </row>
    <row r="183" spans="19:109" ht="16.149999999999999" customHeight="1" x14ac:dyDescent="0.2">
      <c r="S183" s="129"/>
      <c r="T183" s="129"/>
      <c r="U183" s="302"/>
      <c r="AJ183" s="258"/>
      <c r="AK183" s="5"/>
      <c r="AL183" s="5"/>
      <c r="AM183" s="19"/>
      <c r="AN183" s="19"/>
      <c r="AO183" s="19"/>
      <c r="AP183" s="19"/>
      <c r="AQ183" s="19"/>
      <c r="DD183" s="5"/>
      <c r="DE183" s="5"/>
    </row>
    <row r="184" spans="19:109" ht="16.149999999999999" customHeight="1" x14ac:dyDescent="0.25">
      <c r="S184" s="129"/>
      <c r="T184" s="129"/>
      <c r="U184" s="302"/>
      <c r="AJ184" s="320"/>
      <c r="AK184" s="5"/>
      <c r="AL184" s="5"/>
      <c r="AM184" s="19"/>
      <c r="AN184" s="19"/>
      <c r="AO184" s="19"/>
      <c r="AP184" s="19"/>
      <c r="AQ184" s="19"/>
      <c r="DD184" s="5"/>
      <c r="DE184" s="5"/>
    </row>
    <row r="185" spans="19:109" ht="16.149999999999999" customHeight="1" x14ac:dyDescent="0.25">
      <c r="S185" s="5"/>
      <c r="T185" s="5"/>
      <c r="U185" s="5"/>
      <c r="AJ185" s="320"/>
      <c r="AK185" s="5"/>
      <c r="AL185" s="5"/>
      <c r="AM185" s="19"/>
      <c r="AN185" s="19"/>
      <c r="AO185" s="19"/>
      <c r="AP185" s="19"/>
      <c r="AQ185" s="19"/>
      <c r="DD185" s="5"/>
      <c r="DE185" s="5"/>
    </row>
    <row r="186" spans="19:109" ht="16.149999999999999" customHeight="1" x14ac:dyDescent="0.2">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x14ac:dyDescent="0.2">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x14ac:dyDescent="0.2">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x14ac:dyDescent="0.2">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x14ac:dyDescent="0.2">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x14ac:dyDescent="0.2">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x14ac:dyDescent="0.2">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x14ac:dyDescent="0.2">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x14ac:dyDescent="0.2">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x14ac:dyDescent="0.2">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x14ac:dyDescent="0.2">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x14ac:dyDescent="0.2">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x14ac:dyDescent="0.2">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x14ac:dyDescent="0.2">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x14ac:dyDescent="0.2">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x14ac:dyDescent="0.2">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x14ac:dyDescent="0.2">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x14ac:dyDescent="0.2">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x14ac:dyDescent="0.2">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x14ac:dyDescent="0.2">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x14ac:dyDescent="0.2">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x14ac:dyDescent="0.2">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x14ac:dyDescent="0.2">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x14ac:dyDescent="0.2">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x14ac:dyDescent="0.2">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x14ac:dyDescent="0.2">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x14ac:dyDescent="0.2">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x14ac:dyDescent="0.2">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x14ac:dyDescent="0.2">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x14ac:dyDescent="0.2">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x14ac:dyDescent="0.2">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x14ac:dyDescent="0.2">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x14ac:dyDescent="0.2">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x14ac:dyDescent="0.2">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x14ac:dyDescent="0.2">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x14ac:dyDescent="0.2">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x14ac:dyDescent="0.2">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x14ac:dyDescent="0.2">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x14ac:dyDescent="0.2">
      <c r="V224" s="5"/>
      <c r="W224" s="5"/>
      <c r="X224" s="5"/>
      <c r="Y224" s="5"/>
      <c r="Z224" s="5"/>
      <c r="AA224" s="5"/>
      <c r="AB224" s="5"/>
      <c r="AC224" s="5"/>
      <c r="AD224" s="5"/>
      <c r="AE224" s="5"/>
      <c r="AF224" s="5"/>
      <c r="AG224" s="5"/>
      <c r="AH224" s="5"/>
      <c r="AI224" s="5"/>
      <c r="AJ224" s="5"/>
      <c r="AK224" s="19"/>
      <c r="AL224" s="19"/>
      <c r="AM224" s="19"/>
      <c r="AN224" s="19"/>
      <c r="AO224" s="19"/>
    </row>
    <row r="225" spans="22:41" x14ac:dyDescent="0.2">
      <c r="V225" s="5"/>
      <c r="W225" s="5"/>
      <c r="X225" s="5"/>
      <c r="Y225" s="5"/>
      <c r="Z225" s="5"/>
      <c r="AA225" s="5"/>
      <c r="AB225" s="5"/>
      <c r="AC225" s="5"/>
      <c r="AD225" s="5"/>
      <c r="AE225" s="5"/>
      <c r="AF225" s="5"/>
      <c r="AG225" s="5"/>
      <c r="AH225" s="5"/>
      <c r="AI225" s="5"/>
      <c r="AJ225" s="5"/>
      <c r="AK225" s="19"/>
      <c r="AL225" s="19"/>
      <c r="AM225" s="19"/>
      <c r="AN225" s="19"/>
      <c r="AO225" s="19"/>
    </row>
    <row r="226" spans="22:41" x14ac:dyDescent="0.2">
      <c r="V226" s="5"/>
      <c r="W226" s="5"/>
      <c r="X226" s="5"/>
      <c r="Y226" s="5"/>
      <c r="Z226" s="5"/>
      <c r="AA226" s="5"/>
      <c r="AB226" s="5"/>
      <c r="AC226" s="5"/>
      <c r="AD226" s="5"/>
      <c r="AE226" s="5"/>
      <c r="AF226" s="5"/>
      <c r="AG226" s="5"/>
      <c r="AH226" s="5"/>
      <c r="AI226" s="5"/>
      <c r="AJ226" s="5"/>
      <c r="AK226" s="19"/>
      <c r="AL226" s="19"/>
      <c r="AM226" s="19"/>
      <c r="AN226" s="19"/>
      <c r="AO226" s="19"/>
    </row>
    <row r="227" spans="22:41" x14ac:dyDescent="0.2">
      <c r="V227" s="5"/>
      <c r="W227" s="5"/>
      <c r="X227" s="5"/>
      <c r="Y227" s="5"/>
      <c r="Z227" s="5"/>
      <c r="AA227" s="5"/>
      <c r="AB227" s="5"/>
      <c r="AC227" s="5"/>
      <c r="AD227" s="5"/>
      <c r="AE227" s="5"/>
      <c r="AF227" s="5"/>
      <c r="AG227" s="5"/>
      <c r="AH227" s="5"/>
      <c r="AI227" s="5"/>
      <c r="AJ227" s="5"/>
      <c r="AK227" s="19"/>
      <c r="AL227" s="19"/>
      <c r="AM227" s="19"/>
      <c r="AN227" s="19"/>
      <c r="AO227" s="19"/>
    </row>
  </sheetData>
  <sheetProtection algorithmName="SHA-512" hashValue="Pm6qs+eRWUgR/EDFFLueEwVlVQXq4b+JTCrEZ2iRtDfGJ29fnbfN+HxfU6VVAfHb+uIgEy09K6U6Ma6DvytREw==" saltValue="Wl30CCmqWKCsM2MxaVHLGw==" spinCount="100000" sheet="1" objects="1" scenarios="1"/>
  <mergeCells count="16">
    <mergeCell ref="G1:H2"/>
    <mergeCell ref="L20:M20"/>
    <mergeCell ref="F40:H40"/>
    <mergeCell ref="F44:H44"/>
    <mergeCell ref="F20:H20"/>
    <mergeCell ref="G19:H19"/>
    <mergeCell ref="B3:H3"/>
    <mergeCell ref="N3:O3"/>
    <mergeCell ref="C18:D18"/>
    <mergeCell ref="G18:H18"/>
    <mergeCell ref="F51:G51"/>
    <mergeCell ref="F21:H21"/>
    <mergeCell ref="F22:H22"/>
    <mergeCell ref="F23:H23"/>
    <mergeCell ref="F24:H24"/>
    <mergeCell ref="D31:E31"/>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x14ac:dyDescent="0.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x14ac:dyDescent="0.2">
      <c r="A1" s="1"/>
      <c r="B1" s="1281" t="s">
        <v>706</v>
      </c>
      <c r="C1" s="1281"/>
      <c r="D1" s="1281"/>
      <c r="E1" s="1281"/>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x14ac:dyDescent="0.25">
      <c r="A2" s="1"/>
      <c r="B2" s="1096" t="s">
        <v>1194</v>
      </c>
      <c r="C2" s="1097" t="str">
        <f>"Version "&amp;Sprache!E2</f>
        <v>Version 8.3.38</v>
      </c>
      <c r="D2" s="1294" t="str">
        <f ca="1">IF(TODAY()&gt;DATE(2013,12,31),"Abgelaufen!","")</f>
        <v>Abgelaufen!</v>
      </c>
      <c r="E2" s="1294"/>
      <c r="N2" s="888" t="s">
        <v>2607</v>
      </c>
      <c r="O2" s="889"/>
      <c r="P2" s="890"/>
      <c r="Q2" s="19"/>
      <c r="R2" s="142"/>
      <c r="S2" s="891" t="s">
        <v>2608</v>
      </c>
      <c r="T2" s="73"/>
      <c r="U2" s="1048" t="b">
        <f>IF(OR(T7,T13),TRUE,FALSE)</f>
        <v>0</v>
      </c>
      <c r="V2" s="230" t="s">
        <v>2609</v>
      </c>
      <c r="W2" s="1296" t="s">
        <v>1064</v>
      </c>
      <c r="X2" s="1297"/>
      <c r="Z2" s="6" t="s">
        <v>2538</v>
      </c>
      <c r="AA2" s="118"/>
      <c r="AB2" s="139" t="s">
        <v>2545</v>
      </c>
      <c r="AC2" s="723"/>
      <c r="AE2" s="139" t="s">
        <v>1681</v>
      </c>
      <c r="AF2" s="229">
        <f>L25</f>
        <v>1</v>
      </c>
      <c r="AG2" s="996" t="s">
        <v>1682</v>
      </c>
      <c r="AH2" s="230" t="s">
        <v>84</v>
      </c>
      <c r="AJ2" s="192" t="s">
        <v>1678</v>
      </c>
      <c r="AK2" s="227" t="s">
        <v>1679</v>
      </c>
      <c r="AL2" s="227" t="s">
        <v>1680</v>
      </c>
      <c r="AN2" s="139" t="s">
        <v>3930</v>
      </c>
      <c r="AO2" s="172">
        <f>L27</f>
        <v>1</v>
      </c>
      <c r="AQ2" s="192" t="s">
        <v>3941</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x14ac:dyDescent="0.2">
      <c r="A3" s="1"/>
      <c r="B3" s="234" t="s">
        <v>3473</v>
      </c>
      <c r="C3" s="975"/>
      <c r="D3" s="975"/>
      <c r="E3" s="975"/>
      <c r="F3" s="1085" t="s">
        <v>1395</v>
      </c>
      <c r="G3" s="1085"/>
      <c r="H3" s="1295" t="str">
        <f>"JAZcalc "&amp;Sprache!E2&amp;" / "&amp;TEXT(WP_Daten!E2,"tt.MMM.jjjj")</f>
        <v>JAZcalc 8.3.38 / 19.Dez.2025</v>
      </c>
      <c r="I3" s="1295"/>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x14ac:dyDescent="0.2">
      <c r="A4" s="1"/>
      <c r="B4" s="972" t="s">
        <v>1667</v>
      </c>
      <c r="C4" s="1282"/>
      <c r="D4" s="1283"/>
      <c r="E4" s="1284"/>
      <c r="F4" s="893" t="s">
        <v>1668</v>
      </c>
      <c r="G4" s="1285"/>
      <c r="H4" s="1286"/>
      <c r="I4" s="1287"/>
      <c r="N4" s="20" t="s">
        <v>714</v>
      </c>
      <c r="O4" s="900" t="s">
        <v>1415</v>
      </c>
      <c r="P4" s="901" t="s">
        <v>1416</v>
      </c>
      <c r="Q4" s="19"/>
      <c r="R4" s="902"/>
      <c r="S4" s="259" t="s">
        <v>1417</v>
      </c>
      <c r="T4" s="5"/>
      <c r="U4" s="21"/>
      <c r="V4" s="892" t="s">
        <v>2919</v>
      </c>
      <c r="W4" s="902">
        <v>40</v>
      </c>
      <c r="X4" s="17">
        <v>1000</v>
      </c>
      <c r="Z4" s="619" t="s">
        <v>2539</v>
      </c>
      <c r="AA4" s="21"/>
      <c r="AB4" s="20" t="str">
        <f>'WP1'!R50</f>
        <v>Non disponibles</v>
      </c>
      <c r="AC4" s="21"/>
      <c r="AE4" s="20" t="str">
        <f>IF('WP1'!AH134&lt;&gt;"",'WP1'!AH134,"")</f>
        <v/>
      </c>
      <c r="AF4" s="246" t="b">
        <v>0</v>
      </c>
      <c r="AG4" s="233">
        <f>'WP1'!AJ134</f>
        <v>0</v>
      </c>
      <c r="AH4" s="21" t="b">
        <v>0</v>
      </c>
      <c r="AJ4" s="238" t="str">
        <f>'WP1'!AD134</f>
        <v>fonctionnement chauffage monovalent</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x14ac:dyDescent="0.2">
      <c r="A5" s="1"/>
      <c r="B5" s="973" t="s">
        <v>1414</v>
      </c>
      <c r="C5" s="1288"/>
      <c r="D5" s="1289"/>
      <c r="E5" s="1290"/>
      <c r="F5" s="899" t="s">
        <v>1414</v>
      </c>
      <c r="G5" s="1291"/>
      <c r="H5" s="1292"/>
      <c r="I5" s="1293"/>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Circulation d'ECS</v>
      </c>
      <c r="AC5" s="21"/>
      <c r="AE5" s="20" t="str">
        <f>IF('WP1'!AH135&lt;&gt;"",'WP1'!AH135,"")</f>
        <v/>
      </c>
      <c r="AF5" s="246" t="b">
        <v>1</v>
      </c>
      <c r="AG5" s="233">
        <f>'WP1'!AJ135</f>
        <v>0.02</v>
      </c>
      <c r="AH5" s="21" t="b">
        <v>0</v>
      </c>
      <c r="AJ5" s="238" t="str">
        <f>'WP1'!AD135</f>
        <v xml:space="preserve">avec chauffage électrique de secours </v>
      </c>
      <c r="AK5" s="29" t="b">
        <v>0</v>
      </c>
      <c r="AL5" s="29" t="b">
        <v>1</v>
      </c>
      <c r="AN5" s="20" t="str">
        <f>'WP1'!BG70</f>
        <v/>
      </c>
      <c r="AO5" s="175"/>
      <c r="AQ5" s="20" t="str">
        <f>'WP1'!BG79</f>
        <v/>
      </c>
      <c r="AR5" s="198"/>
      <c r="AT5" s="1000" t="str">
        <f>'WP1'!M58</f>
        <v>pas d'installation solaire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x14ac:dyDescent="0.2">
      <c r="A6" s="1"/>
      <c r="B6" s="973" t="s">
        <v>1419</v>
      </c>
      <c r="C6" s="1303"/>
      <c r="D6" s="1289"/>
      <c r="E6" s="1290"/>
      <c r="F6" s="899" t="s">
        <v>1419</v>
      </c>
      <c r="G6" s="1291"/>
      <c r="H6" s="1292"/>
      <c r="I6" s="1293"/>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Câble chauffant</v>
      </c>
      <c r="AC6" s="44"/>
      <c r="AE6" s="20" t="str">
        <f>IF(OR(L23=1,L23=18),"","Hygienespeicher WP optimiert")</f>
        <v/>
      </c>
      <c r="AF6" s="246" t="b">
        <f>IF(AC8=4,TRUE,FALSE)</f>
        <v>0</v>
      </c>
      <c r="AG6" s="233">
        <f>'WP1'!AJ136</f>
        <v>0.04</v>
      </c>
      <c r="AH6" s="21" t="b">
        <v>0</v>
      </c>
      <c r="AJ6" s="238" t="str">
        <f>'WP1'!AD136</f>
        <v>Installation bivalente fossile</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x14ac:dyDescent="0.2">
      <c r="B7" s="974" t="s">
        <v>1520</v>
      </c>
      <c r="C7" s="1304"/>
      <c r="D7" s="1305"/>
      <c r="E7" s="1306"/>
      <c r="F7" s="904" t="s">
        <v>1520</v>
      </c>
      <c r="G7" s="1300"/>
      <c r="H7" s="1301"/>
      <c r="I7" s="1302"/>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Installation bivalente fossile alternative</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x14ac:dyDescent="0.25">
      <c r="B8" s="85" t="str">
        <f>Sprache!B10</f>
        <v>Données concernant le bâtiment</v>
      </c>
      <c r="C8" s="1070" t="s">
        <v>2426</v>
      </c>
      <c r="D8" s="1273"/>
      <c r="E8" s="1274"/>
      <c r="F8" s="731" t="str">
        <f>IF(AND(H8=""),Sprache!B24,"")</f>
        <v>choisir -&gt;</v>
      </c>
      <c r="G8" s="897" t="s">
        <v>1522</v>
      </c>
      <c r="H8" s="1298"/>
      <c r="I8" s="1299"/>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Chauffage solaire de l'ECS</v>
      </c>
      <c r="AU8" s="287"/>
      <c r="AV8" s="679"/>
      <c r="BQ8" s="5"/>
      <c r="BR8" s="5"/>
      <c r="BS8" s="5"/>
      <c r="BT8" s="5"/>
      <c r="BU8" s="5"/>
      <c r="BV8" s="5"/>
      <c r="BW8" s="5"/>
      <c r="BX8" s="5"/>
      <c r="BY8" s="5"/>
      <c r="BZ8" s="5"/>
      <c r="CA8" s="5"/>
      <c r="CB8" s="5"/>
      <c r="CC8" s="5"/>
      <c r="CD8" s="5"/>
      <c r="CE8" s="5"/>
      <c r="CF8" s="5"/>
      <c r="CG8" s="5"/>
      <c r="CH8" s="5"/>
      <c r="CI8" s="5"/>
    </row>
    <row r="9" spans="1:87" ht="15" customHeight="1" x14ac:dyDescent="0.2">
      <c r="B9" s="36" t="s">
        <v>733</v>
      </c>
      <c r="C9" s="4"/>
      <c r="D9" s="4"/>
      <c r="E9" s="4"/>
      <c r="F9" s="31"/>
      <c r="G9" s="514" t="str">
        <f>IF(AND(H9=""),Sprache!B24,"")</f>
        <v>choisir -&gt;</v>
      </c>
      <c r="H9" s="1279"/>
      <c r="I9" s="1280"/>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Eau chaude sanitaire ECS + chauffage</v>
      </c>
      <c r="AU9" s="287"/>
      <c r="AV9" s="679"/>
      <c r="BQ9" s="5"/>
      <c r="BR9" s="5"/>
      <c r="BS9" s="5"/>
      <c r="BT9" s="5"/>
      <c r="BU9" s="5"/>
      <c r="BV9" s="5"/>
      <c r="BW9" s="5"/>
      <c r="BX9" s="5"/>
      <c r="BY9" s="5"/>
      <c r="BZ9" s="5"/>
      <c r="CA9" s="5"/>
      <c r="CB9" s="5"/>
      <c r="CC9" s="5"/>
      <c r="CD9" s="5"/>
      <c r="CE9" s="5"/>
      <c r="CF9" s="5"/>
      <c r="CG9" s="5"/>
      <c r="CH9" s="5"/>
      <c r="CI9" s="5"/>
    </row>
    <row r="10" spans="1:87" ht="15" customHeight="1" x14ac:dyDescent="0.2">
      <c r="B10" s="38" t="s">
        <v>735</v>
      </c>
      <c r="C10" s="40"/>
      <c r="D10" s="40"/>
      <c r="E10" s="40"/>
      <c r="F10" s="39"/>
      <c r="G10" s="97" t="str">
        <f>IF(AND(H10=""),Sprache!B24,"")</f>
        <v>choisir -&gt;</v>
      </c>
      <c r="H10" s="1275"/>
      <c r="I10" s="1276"/>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Chauffage solaire de l'ECS (calcul externe)</v>
      </c>
      <c r="AU10" s="287"/>
      <c r="AV10" s="679"/>
      <c r="BQ10" s="5"/>
      <c r="BR10" s="5"/>
      <c r="BS10" s="5"/>
      <c r="BT10" s="5"/>
      <c r="BU10" s="5"/>
      <c r="BV10" s="5"/>
      <c r="BW10" s="5"/>
      <c r="BX10" s="5"/>
      <c r="BY10" s="5"/>
      <c r="BZ10" s="5"/>
      <c r="CA10" s="5"/>
      <c r="CB10" s="5"/>
      <c r="CC10" s="5"/>
      <c r="CD10" s="5"/>
      <c r="CE10" s="5"/>
      <c r="CF10" s="5"/>
      <c r="CG10" s="5"/>
      <c r="CH10" s="5"/>
      <c r="CI10" s="5"/>
    </row>
    <row r="11" spans="1:87" ht="15" customHeight="1" x14ac:dyDescent="0.2">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Eau chaude sanitaire ECS + chauffage (calcul externe)</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x14ac:dyDescent="0.2">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Chauffage</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x14ac:dyDescent="0.2">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ECS eau chaude sanitaire</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x14ac:dyDescent="0.2">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Chauffage+ECS</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x14ac:dyDescent="0.2">
      <c r="B15" s="38" t="s">
        <v>3642</v>
      </c>
      <c r="C15" s="40"/>
      <c r="D15" s="40"/>
      <c r="E15" s="40"/>
      <c r="F15" s="47"/>
      <c r="G15" s="42"/>
      <c r="H15" s="42" t="s">
        <v>3643</v>
      </c>
      <c r="I15" s="57"/>
      <c r="M15" s="19"/>
      <c r="N15" s="20" t="s">
        <v>751</v>
      </c>
      <c r="O15" s="986">
        <f>5</f>
        <v>5</v>
      </c>
      <c r="P15" s="902"/>
      <c r="Q15" s="30" t="s">
        <v>779</v>
      </c>
      <c r="R15" s="19"/>
      <c r="S15" s="19"/>
      <c r="T15" s="19"/>
      <c r="V15" s="898" t="s">
        <v>718</v>
      </c>
      <c r="W15" s="20"/>
      <c r="X15" s="238"/>
      <c r="Z15" s="25" t="str">
        <f>'WP1'!BG63</f>
        <v>Chauffage + production d'ECS décentralisée par PAC</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x14ac:dyDescent="0.2">
      <c r="B16" s="38" t="s">
        <v>3646</v>
      </c>
      <c r="C16" s="40"/>
      <c r="D16" s="40"/>
      <c r="E16" s="40"/>
      <c r="F16" s="47"/>
      <c r="G16" s="42"/>
      <c r="H16" s="63" t="s">
        <v>3647</v>
      </c>
      <c r="I16" s="64"/>
      <c r="M16" s="728"/>
      <c r="N16" s="20" t="s">
        <v>3644</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x14ac:dyDescent="0.2">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3650</v>
      </c>
      <c r="I17" s="1117"/>
      <c r="L17" s="1074" t="e">
        <f>I17*(20-TaMin)/(20-TaMinVorarlberg)</f>
        <v>#VALUE!</v>
      </c>
      <c r="N17" s="25" t="s">
        <v>3648</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x14ac:dyDescent="0.2">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x14ac:dyDescent="0.2">
      <c r="B19" s="77" t="s">
        <v>1400</v>
      </c>
      <c r="C19" s="534"/>
      <c r="D19" s="534"/>
      <c r="E19" s="534"/>
      <c r="F19" s="78"/>
      <c r="G19" s="79"/>
      <c r="H19" s="79" t="s">
        <v>3643</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x14ac:dyDescent="0.2">
      <c r="B20" s="1071" t="str">
        <f>IF(AND(Qh&gt;0,L24&lt;&gt;3),IF(AND(bivalent=FALSE,elZusatz=FALSE,G56&gt;0.01),Sprache!B146,""),"")</f>
        <v/>
      </c>
      <c r="C20" s="666"/>
      <c r="D20" s="34"/>
      <c r="E20" s="4"/>
      <c r="F20" s="31"/>
      <c r="G20" s="965"/>
      <c r="H20" s="965"/>
      <c r="I20" s="963" t="str">
        <f>'WP1'!H17</f>
        <v/>
      </c>
      <c r="N20" s="912" t="s">
        <v>3494</v>
      </c>
      <c r="O20" s="128" t="s">
        <v>1542</v>
      </c>
      <c r="P20" s="1271" t="s">
        <v>3495</v>
      </c>
      <c r="Q20" s="1272"/>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x14ac:dyDescent="0.2">
      <c r="B21" s="32" t="str">
        <f>Sprache!B22</f>
        <v>Installation de pompe à chaleur</v>
      </c>
      <c r="C21" s="985"/>
      <c r="D21" s="1243"/>
      <c r="E21" s="1244"/>
      <c r="F21" s="966"/>
      <c r="G21" s="968" t="str">
        <f>IF(SpezWP,IF(Spez!E5&lt;&gt;"",Spez!E5,""),"Hersteller:  ")</f>
        <v xml:space="preserve">Hersteller:  </v>
      </c>
      <c r="H21" s="1257"/>
      <c r="I21" s="1258"/>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x14ac:dyDescent="0.2">
      <c r="B22" s="92" t="str">
        <f>Sprache!B23</f>
        <v>Nom et type de PAC</v>
      </c>
      <c r="C22" s="250"/>
      <c r="D22" s="250"/>
      <c r="E22" s="250"/>
      <c r="F22" s="93"/>
      <c r="G22" s="967" t="str">
        <f>IF(SpezWP,IF(Spez!E5&lt;&gt;"",Spez!E5,""),"Typ:  ")</f>
        <v xml:space="preserve">Typ:  </v>
      </c>
      <c r="H22" s="1269"/>
      <c r="I22" s="1270"/>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x14ac:dyDescent="0.2">
      <c r="B23" s="92" t="str">
        <f>Sprache!B26</f>
        <v>Source de chaleur:</v>
      </c>
      <c r="C23" s="250"/>
      <c r="D23" s="250"/>
      <c r="E23" s="250"/>
      <c r="F23" s="347" t="str">
        <f>IF(WPArt=1,Sprache!B24,"")</f>
        <v>choisir -&gt;</v>
      </c>
      <c r="G23" s="1240"/>
      <c r="H23" s="1241"/>
      <c r="I23" s="1242"/>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x14ac:dyDescent="0.2">
      <c r="B24" s="100" t="str">
        <f>Sprache!B27</f>
        <v>Utilisation (chauffage ou eau chaude sanitaire)</v>
      </c>
      <c r="C24" s="103"/>
      <c r="D24" s="103"/>
      <c r="E24" s="103"/>
      <c r="F24" s="347" t="e">
        <f>IF(#REF!=1,Sprache!B24,"")</f>
        <v>#REF!</v>
      </c>
      <c r="G24" s="1240"/>
      <c r="H24" s="1241"/>
      <c r="I24" s="1242"/>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x14ac:dyDescent="0.2">
      <c r="B25" s="100" t="str">
        <f>IF(Heizung=FALSE,"",Sprache!B29)</f>
        <v/>
      </c>
      <c r="C25" s="103"/>
      <c r="D25" s="103"/>
      <c r="E25" s="103"/>
      <c r="F25" s="347" t="e">
        <f>IF(AND(HeizungSolar,#REF!=3),Sprache!B25,IF(AND(#REF!=1,Heizung),Sprache!B24,""))</f>
        <v>#REF!</v>
      </c>
      <c r="G25" s="1240"/>
      <c r="H25" s="1241"/>
      <c r="I25" s="1242"/>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x14ac:dyDescent="0.2">
      <c r="B26" s="100" t="str">
        <f>Sprache!B28</f>
        <v>Mode de fonctionnement de la PAC</v>
      </c>
      <c r="C26" s="103"/>
      <c r="D26" s="103"/>
      <c r="E26" s="103"/>
      <c r="F26" s="347" t="e">
        <f>IF(#REF!=1,Sprache!B24,"")</f>
        <v>#REF!</v>
      </c>
      <c r="G26" s="1240"/>
      <c r="H26" s="1241"/>
      <c r="I26" s="1242"/>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x14ac:dyDescent="0.2">
      <c r="B27" s="166" t="str">
        <f>IF(elZusatz,Sprache!B30,"")</f>
        <v/>
      </c>
      <c r="C27" s="499"/>
      <c r="D27" s="499"/>
      <c r="E27" s="499"/>
      <c r="F27" s="538" t="e">
        <f>IF(AND(elZusatz,#REF!=1),Sprache!B24,"")</f>
        <v>#REF!</v>
      </c>
      <c r="G27" s="1240"/>
      <c r="H27" s="1241"/>
      <c r="I27" s="1242"/>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x14ac:dyDescent="0.2">
      <c r="B28" s="539" t="str">
        <f>Sprache!B69</f>
        <v>Température de la source (entrée PAC)</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x14ac:dyDescent="0.2">
      <c r="B29" s="502" t="str">
        <f>Sprache!B185&amp;IF(SpezWP,Spez!C10,35)&amp;"°C  (Qh / COP):"</f>
        <v>Valeurs de calcul pour Tdép35°C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x14ac:dyDescent="0.2">
      <c r="B30" s="536" t="str">
        <f>Sprache!B197&amp;" 35°C"</f>
        <v>Puissance de chauffe pour Tdép 35°C</v>
      </c>
      <c r="C30" s="964"/>
      <c r="D30" s="116" t="s">
        <v>3650</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x14ac:dyDescent="0.2">
      <c r="B31" s="536" t="str">
        <f>Sprache!B198&amp;" 35°C"</f>
        <v>COP à la température de départ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x14ac:dyDescent="0.2">
      <c r="B32" s="536" t="str">
        <f>Sprache!B197&amp;" 55°C"</f>
        <v>Puissance de chauffe pour Tdép 55°C</v>
      </c>
      <c r="C32" s="964"/>
      <c r="D32" s="116" t="s">
        <v>3650</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x14ac:dyDescent="0.2">
      <c r="B33" s="540" t="str">
        <f>Sprache!B198&amp;" 55°C"</f>
        <v>COP à la température de départ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x14ac:dyDescent="0.2">
      <c r="B34" s="92" t="str">
        <f>IF(WPArt=4,Sprache!B88,Sprache!B70)</f>
        <v>Puissance électrique soutirée par pompe saumure:</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x14ac:dyDescent="0.2">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x14ac:dyDescent="0.25">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8"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x14ac:dyDescent="0.2">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x14ac:dyDescent="0.2">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x14ac:dyDescent="0.25">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8"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x14ac:dyDescent="0.25">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8"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x14ac:dyDescent="0.2">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x14ac:dyDescent="0.2">
      <c r="B42" s="205" t="str">
        <f>'WP1'!B39</f>
        <v/>
      </c>
      <c r="C42" s="517"/>
      <c r="D42" s="517"/>
      <c r="E42" s="517"/>
      <c r="F42" s="519"/>
      <c r="G42" s="549"/>
      <c r="H42" s="520" t="str">
        <f>'WP1'!G39</f>
        <v/>
      </c>
      <c r="I42" s="1119"/>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x14ac:dyDescent="0.2">
      <c r="B43" s="92" t="str">
        <f>IF(WW,Sprache!B51,"")</f>
        <v/>
      </c>
      <c r="C43" s="250"/>
      <c r="D43" s="250"/>
      <c r="E43" s="250"/>
      <c r="F43" s="346" t="str">
        <f>'WP1'!E40</f>
        <v/>
      </c>
      <c r="G43" s="1252"/>
      <c r="H43" s="1253"/>
      <c r="I43" s="1254"/>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x14ac:dyDescent="0.2">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x14ac:dyDescent="0.2">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x14ac:dyDescent="0.2">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x14ac:dyDescent="0.25">
      <c r="B47" s="85" t="str">
        <f>Sprache!B31</f>
        <v>Installation solaire</v>
      </c>
      <c r="C47" s="495"/>
      <c r="D47" s="551"/>
      <c r="E47" s="551"/>
      <c r="F47" s="731" t="str">
        <f>IF(AND(G47=""),Sprache!B24,"")</f>
        <v>choisir -&gt;</v>
      </c>
      <c r="G47" s="1249"/>
      <c r="H47" s="1250"/>
      <c r="I47" s="1251"/>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x14ac:dyDescent="0.2">
      <c r="B48" s="20" t="str">
        <f>Sprache!B55</f>
        <v>Surface des absorbeurs</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x14ac:dyDescent="0.2">
      <c r="B49" s="166" t="str">
        <f>Sprache!B56</f>
        <v>orientation / inclinaison des collecteurs</v>
      </c>
      <c r="C49" s="499"/>
      <c r="D49" s="499"/>
      <c r="E49" s="499"/>
      <c r="F49" s="727" t="str">
        <f>'WP1'!E50</f>
        <v xml:space="preserve">Azimut [°]:  </v>
      </c>
      <c r="G49" s="343"/>
      <c r="H49" s="726" t="str">
        <f>'WP1'!G50</f>
        <v>Pente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x14ac:dyDescent="0.2">
      <c r="B50" s="166" t="str">
        <f>Sprache!B57</f>
        <v>Apport net par m2 d'absorbeur</v>
      </c>
      <c r="C50" s="499"/>
      <c r="D50" s="499"/>
      <c r="E50" s="499"/>
      <c r="F50" s="689" t="str">
        <f>IF(_SIA384,Sprache!B269,Sprache!B140)</f>
        <v>valeur proposée:</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x14ac:dyDescent="0.2">
      <c r="B51" s="166" t="str">
        <f>IF(OR(MinSol,solarExtern),Sprache!B58,Sprache!B275)</f>
        <v>Spécifications du collecteur</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x14ac:dyDescent="0.2">
      <c r="B52" s="166" t="str">
        <f>Sprache!B59</f>
        <v>Taux de couverture solaire pour l'ECS</v>
      </c>
      <c r="C52" s="499"/>
      <c r="D52" s="499"/>
      <c r="E52" s="499"/>
      <c r="F52" s="312"/>
      <c r="G52" s="840" t="s">
        <v>2310</v>
      </c>
      <c r="H52" s="42" t="s">
        <v>3643</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x14ac:dyDescent="0.2">
      <c r="B53" s="166" t="str">
        <f>Sprache!B60</f>
        <v>Taux de couverture solaire pour le chauffage</v>
      </c>
      <c r="C53" s="499"/>
      <c r="D53" s="499"/>
      <c r="E53" s="499"/>
      <c r="F53" s="167"/>
      <c r="G53" s="840" t="s">
        <v>2310</v>
      </c>
      <c r="H53" s="42" t="s">
        <v>3643</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x14ac:dyDescent="0.2">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x14ac:dyDescent="0.25">
      <c r="B55" s="85" t="str">
        <f>Sprache!B32</f>
        <v>Résultats</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x14ac:dyDescent="0.25">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x14ac:dyDescent="0.25">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x14ac:dyDescent="0.2">
      <c r="B58" s="1019" t="str">
        <f ca="1">IF(I58&lt;&gt;"",'WP1'!B61,"")</f>
        <v/>
      </c>
      <c r="C58" s="103"/>
      <c r="D58" s="103"/>
      <c r="E58" s="103"/>
      <c r="F58" s="97"/>
      <c r="G58" s="187"/>
      <c r="H58" s="918" t="str">
        <f ca="1">IF(I58&lt;&gt;"","h / a","")</f>
        <v/>
      </c>
      <c r="I58" s="185" t="str">
        <f ca="1">IF(AND(WPArt=3,I35=""),"",IF(OR(L9=1,I11="",L31=FALSE),"",'WP1'!H61))</f>
        <v/>
      </c>
      <c r="L58" s="1094"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x14ac:dyDescent="0.2">
      <c r="B59" s="1019" t="str">
        <f>IF(Heizung=FALSE,"","Anteil und JAZ der Heizung mit Solaranlage")</f>
        <v/>
      </c>
      <c r="C59" s="103"/>
      <c r="D59" s="103"/>
      <c r="E59" s="103"/>
      <c r="F59" s="97"/>
      <c r="G59" s="127"/>
      <c r="H59" s="1118"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x14ac:dyDescent="0.2">
      <c r="B60" s="1019" t="str">
        <f>IF(WW=FALSE,"","Anteil und JAZ für Warmwasser mit Solaranlage")</f>
        <v/>
      </c>
      <c r="C60" s="103"/>
      <c r="D60" s="103"/>
      <c r="E60" s="103"/>
      <c r="F60" s="97"/>
      <c r="G60" s="127"/>
      <c r="H60" s="1118"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x14ac:dyDescent="0.25">
      <c r="B61" s="1019" t="str">
        <f>IF(Heizung=FALSE,"","Anteil und JAZ der Heizung")</f>
        <v/>
      </c>
      <c r="C61" s="103"/>
      <c r="D61" s="103"/>
      <c r="E61" s="103"/>
      <c r="F61" s="182" t="str">
        <f>IF(AND(Heizung),"e = ","")</f>
        <v/>
      </c>
      <c r="G61" s="183" t="str">
        <f ca="1">IF(AND(WPArt=3,I35=""),"",IF(OR(L9=1,I11="",L31=FALSE),"",'WP1'!F62))</f>
        <v/>
      </c>
      <c r="H61" s="1118"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x14ac:dyDescent="0.25">
      <c r="B62" s="1019" t="str">
        <f>IF(WW=FALSE,"","Anteil und JAZ für Warmwasser")</f>
        <v/>
      </c>
      <c r="C62" s="103"/>
      <c r="D62" s="103"/>
      <c r="E62" s="103"/>
      <c r="F62" s="182" t="str">
        <f>IF(AND(WW),"e = ","")</f>
        <v/>
      </c>
      <c r="G62" s="183" t="str">
        <f>IF(AND(WPArt=3,I35=""),"",IF(OR(L9=1,I11=""),"",'WP1'!F63))</f>
        <v/>
      </c>
      <c r="H62" s="1118"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x14ac:dyDescent="0.2">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x14ac:dyDescent="0.25">
      <c r="B64" s="1002" t="str">
        <f ca="1">IF(L28=5,"",IF(OR(L9=1,I11="",L31=FALSE,AND(WPArt=3,I35="")),"","Jahresarbeitszahl JAZ (inkl. Elektrozusatz) für Heizung und Warmwasser"))</f>
        <v/>
      </c>
      <c r="C64" s="27"/>
      <c r="D64" s="27"/>
      <c r="E64" s="27"/>
      <c r="F64" s="922"/>
      <c r="G64" s="923"/>
      <c r="H64" s="1120" t="str">
        <f>IF(L28=5,"","JAZ Gesamt =")</f>
        <v>JAZ Gesamt =</v>
      </c>
      <c r="I64" s="1095"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x14ac:dyDescent="0.2">
      <c r="B65" s="1277" t="s">
        <v>117</v>
      </c>
      <c r="C65" s="1278"/>
      <c r="D65" s="1278"/>
      <c r="E65" s="1278"/>
      <c r="F65" s="1278"/>
      <c r="G65" s="1278"/>
      <c r="H65" s="1278"/>
      <c r="I65" s="1278"/>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x14ac:dyDescent="0.2">
      <c r="B66" s="1088" t="s">
        <v>888</v>
      </c>
      <c r="C66" s="501"/>
      <c r="D66" s="501"/>
      <c r="E66" s="501"/>
      <c r="F66" s="514"/>
      <c r="G66" s="515"/>
      <c r="H66" s="1089" t="s">
        <v>721</v>
      </c>
      <c r="I66" s="1090"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x14ac:dyDescent="0.2">
      <c r="B67" s="1091" t="s">
        <v>889</v>
      </c>
      <c r="C67" s="517"/>
      <c r="D67" s="517"/>
      <c r="E67" s="517"/>
      <c r="F67" s="519"/>
      <c r="G67" s="207"/>
      <c r="H67" s="1092" t="s">
        <v>721</v>
      </c>
      <c r="I67" s="1093"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x14ac:dyDescent="0.2">
      <c r="B68" s="1086" t="s">
        <v>2696</v>
      </c>
      <c r="C68" s="1086" t="s">
        <v>770</v>
      </c>
      <c r="D68" s="1087"/>
      <c r="E68" s="1087"/>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x14ac:dyDescent="0.2">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x14ac:dyDescent="0.2">
      <c r="B70" s="902">
        <v>2</v>
      </c>
      <c r="C70" s="991" t="str">
        <f>'WP1'!T134</f>
        <v>Pompe à chaleur air/eau une vitesse</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x14ac:dyDescent="0.2">
      <c r="B71" s="902">
        <v>2</v>
      </c>
      <c r="C71" s="991" t="str">
        <f>'WP1'!T135</f>
        <v>Pompe à chaleur air/eau 2 vitesses</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x14ac:dyDescent="0.2">
      <c r="B72" s="902">
        <v>2</v>
      </c>
      <c r="C72" s="991" t="str">
        <f>'WP1'!T136</f>
        <v>Pompe à chaleur air/eau Plusieurs vitesses</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x14ac:dyDescent="0.2">
      <c r="B73" s="902">
        <v>2</v>
      </c>
      <c r="C73" s="991" t="str">
        <f>'WP1'!T137</f>
        <v>Pompe à chaleur air/eau vitesse variable</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x14ac:dyDescent="0.2">
      <c r="B74" s="902">
        <v>3</v>
      </c>
      <c r="C74" s="991" t="str">
        <f>'WP1'!T138</f>
        <v>Pompe à chaleur sol/eau une vitesse</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x14ac:dyDescent="0.2">
      <c r="B75" s="902">
        <v>3</v>
      </c>
      <c r="C75" s="991" t="str">
        <f>'WP1'!T139</f>
        <v>Pompe à chaleur sol/eau 2 vitesses</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3855</v>
      </c>
      <c r="BH75" s="145">
        <v>840</v>
      </c>
      <c r="BI75" s="916">
        <v>1.92</v>
      </c>
      <c r="BJ75" s="145">
        <v>4720</v>
      </c>
      <c r="BK75" s="145">
        <v>-16</v>
      </c>
      <c r="BM75" s="5">
        <v>53</v>
      </c>
      <c r="BN75" s="413" t="s">
        <v>3856</v>
      </c>
      <c r="BO75" s="145">
        <v>736</v>
      </c>
      <c r="BP75" s="916">
        <v>2.2599999999999998</v>
      </c>
      <c r="BQ75" s="145">
        <v>4434</v>
      </c>
      <c r="BR75" s="145">
        <v>-16</v>
      </c>
      <c r="BS75" s="5"/>
      <c r="BT75" s="5">
        <v>53</v>
      </c>
      <c r="BU75" s="413" t="s">
        <v>3857</v>
      </c>
      <c r="BV75" s="145">
        <v>959</v>
      </c>
      <c r="BW75" s="916">
        <v>1.78</v>
      </c>
      <c r="BX75" s="145">
        <v>5047</v>
      </c>
      <c r="BY75" s="145">
        <v>-18</v>
      </c>
      <c r="BZ75" s="5"/>
      <c r="CA75" s="5">
        <v>53</v>
      </c>
      <c r="CB75" s="413" t="s">
        <v>718</v>
      </c>
      <c r="CC75" s="145"/>
      <c r="CD75" s="916"/>
      <c r="CE75" s="145"/>
      <c r="CF75" s="145"/>
      <c r="CG75" s="5"/>
      <c r="CH75" s="5"/>
      <c r="CI75" s="5"/>
    </row>
    <row r="76" spans="2:87" ht="14.45" hidden="1" customHeight="1" x14ac:dyDescent="0.2">
      <c r="B76" s="902">
        <v>3</v>
      </c>
      <c r="C76" s="991" t="str">
        <f>'WP1'!T140</f>
        <v>Pompe à chaleur sol/eau Plusieurs vitesses</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3858</v>
      </c>
      <c r="Y76" s="145">
        <v>1051</v>
      </c>
      <c r="Z76" s="916">
        <v>2.59</v>
      </c>
      <c r="AA76" s="145">
        <v>4788</v>
      </c>
      <c r="AB76" s="145">
        <v>-17</v>
      </c>
      <c r="AD76" s="5">
        <v>54</v>
      </c>
      <c r="AE76" s="413" t="s">
        <v>3859</v>
      </c>
      <c r="AF76" s="145">
        <v>240</v>
      </c>
      <c r="AG76" s="916">
        <v>3.43</v>
      </c>
      <c r="AH76" s="145">
        <v>3463</v>
      </c>
      <c r="AI76" s="145">
        <v>-13</v>
      </c>
      <c r="AK76" s="5">
        <v>54</v>
      </c>
      <c r="AL76" s="413" t="s">
        <v>3860</v>
      </c>
      <c r="AM76" s="145">
        <v>870</v>
      </c>
      <c r="AN76" s="916">
        <v>2.4</v>
      </c>
      <c r="AO76" s="145">
        <v>4646</v>
      </c>
      <c r="AP76" s="145">
        <v>-15</v>
      </c>
      <c r="AR76" s="5">
        <v>54</v>
      </c>
      <c r="AS76" s="413" t="s">
        <v>3861</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3863</v>
      </c>
      <c r="BV76" s="145">
        <v>2090</v>
      </c>
      <c r="BW76" s="916">
        <v>0.42</v>
      </c>
      <c r="BX76" s="145">
        <v>6794</v>
      </c>
      <c r="BY76" s="145">
        <v>-20</v>
      </c>
      <c r="BZ76" s="5"/>
      <c r="CA76" s="5">
        <v>54</v>
      </c>
      <c r="CB76" s="413" t="s">
        <v>718</v>
      </c>
      <c r="CC76" s="145"/>
      <c r="CD76" s="916"/>
      <c r="CE76" s="145"/>
      <c r="CF76" s="145"/>
      <c r="CG76" s="5"/>
      <c r="CH76" s="5"/>
      <c r="CI76" s="5"/>
    </row>
    <row r="77" spans="2:87" ht="15.6" hidden="1" customHeight="1" x14ac:dyDescent="0.2">
      <c r="B77" s="902">
        <v>3</v>
      </c>
      <c r="C77" s="991" t="str">
        <f>'WP1'!T141</f>
        <v>Pompe à chaleur sol/eau vitesse variable</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3864</v>
      </c>
      <c r="Y77" s="145">
        <v>1015</v>
      </c>
      <c r="Z77" s="916">
        <v>2.4900000000000002</v>
      </c>
      <c r="AA77" s="145">
        <v>4780</v>
      </c>
      <c r="AB77" s="145">
        <v>-17</v>
      </c>
      <c r="AD77" s="5">
        <v>55</v>
      </c>
      <c r="AE77" s="413" t="s">
        <v>3865</v>
      </c>
      <c r="AF77" s="145">
        <v>278</v>
      </c>
      <c r="AG77" s="916">
        <v>3.15</v>
      </c>
      <c r="AH77" s="145">
        <v>3539</v>
      </c>
      <c r="AI77" s="145">
        <v>-13</v>
      </c>
      <c r="AK77" s="5">
        <v>55</v>
      </c>
      <c r="AL77" s="413" t="s">
        <v>3866</v>
      </c>
      <c r="AM77" s="145">
        <v>415</v>
      </c>
      <c r="AN77" s="916">
        <v>2.13</v>
      </c>
      <c r="AO77" s="145">
        <v>3967</v>
      </c>
      <c r="AP77" s="145">
        <v>-16</v>
      </c>
      <c r="AR77" s="5">
        <v>55</v>
      </c>
      <c r="AS77" s="413" t="s">
        <v>3867</v>
      </c>
      <c r="AT77" s="145">
        <v>160</v>
      </c>
      <c r="AU77" s="916">
        <v>3.32</v>
      </c>
      <c r="AV77" s="145">
        <v>3536</v>
      </c>
      <c r="AW77" s="145">
        <v>-14</v>
      </c>
      <c r="AY77" s="5">
        <v>55</v>
      </c>
      <c r="AZ77" s="413" t="s">
        <v>3868</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x14ac:dyDescent="0.2">
      <c r="B78" s="902">
        <v>4</v>
      </c>
      <c r="C78" s="991" t="str">
        <f>'WP1'!T142</f>
        <v>Pompe à chaleur eau/eau une vitesse</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x14ac:dyDescent="0.2">
      <c r="B79" s="902">
        <v>4</v>
      </c>
      <c r="C79" s="991" t="str">
        <f>'WP1'!T143</f>
        <v>Pompe à chaleur eau/eau 2 vitesses</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x14ac:dyDescent="0.2">
      <c r="B80" s="902">
        <v>4</v>
      </c>
      <c r="C80" s="991" t="str">
        <f>'WP1'!T144</f>
        <v>Pompe à chaleur eau/eau Plusieurs vitesses</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x14ac:dyDescent="0.2">
      <c r="B81" s="902">
        <v>4</v>
      </c>
      <c r="C81" s="991" t="str">
        <f>'WP1'!T145</f>
        <v>Pompe à chaleur eau/eau vitesse variable</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x14ac:dyDescent="0.2">
      <c r="B82" s="902">
        <v>5</v>
      </c>
      <c r="C82" s="991" t="str">
        <f>'WP1'!T146</f>
        <v>PAC avec collecteur terrestre une vitesse</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x14ac:dyDescent="0.2">
      <c r="B83" s="902">
        <v>5</v>
      </c>
      <c r="C83" s="991" t="str">
        <f>'WP1'!T147</f>
        <v>PAC avec collecteur terrestre 2 vitesses</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x14ac:dyDescent="0.2">
      <c r="B84" s="902">
        <v>5</v>
      </c>
      <c r="C84" s="991" t="str">
        <f>'WP1'!T148</f>
        <v>PAC avec collecteur terrestre Plusieurs vitesses</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x14ac:dyDescent="0.2">
      <c r="B85" s="902">
        <v>5</v>
      </c>
      <c r="C85" s="991" t="str">
        <f>'WP1'!T149</f>
        <v>PAC avec collecteur terrestre vitesse variable</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x14ac:dyDescent="0.2">
      <c r="B86" s="902">
        <v>6</v>
      </c>
      <c r="C86" s="991" t="str">
        <f>'WP1'!T150</f>
        <v>PAC sur air extrait sur installation de ventilation sans récupération de chaleur</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x14ac:dyDescent="0.2">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x14ac:dyDescent="0.2">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3611</v>
      </c>
      <c r="AT88" s="145">
        <v>168</v>
      </c>
      <c r="AU88" s="916">
        <v>3.31</v>
      </c>
      <c r="AV88" s="145">
        <v>3539</v>
      </c>
      <c r="AW88" s="145">
        <v>-14</v>
      </c>
      <c r="AY88" s="5">
        <v>66</v>
      </c>
      <c r="AZ88" s="413" t="s">
        <v>3612</v>
      </c>
      <c r="BA88" s="145">
        <v>530</v>
      </c>
      <c r="BB88" s="916">
        <v>2.87</v>
      </c>
      <c r="BC88" s="145">
        <v>4197</v>
      </c>
      <c r="BD88" s="145">
        <v>-16</v>
      </c>
      <c r="BF88" s="5">
        <v>66</v>
      </c>
      <c r="BG88" s="413" t="s">
        <v>3613</v>
      </c>
      <c r="BH88" s="145">
        <v>855</v>
      </c>
      <c r="BI88" s="916">
        <v>2.13</v>
      </c>
      <c r="BJ88" s="145">
        <v>4663</v>
      </c>
      <c r="BK88" s="145">
        <v>-17</v>
      </c>
      <c r="BM88" s="5">
        <v>66</v>
      </c>
      <c r="BN88" s="413" t="s">
        <v>3614</v>
      </c>
      <c r="BO88" s="145">
        <v>582</v>
      </c>
      <c r="BP88" s="916">
        <v>2.92</v>
      </c>
      <c r="BQ88" s="145">
        <v>4013</v>
      </c>
      <c r="BR88" s="145">
        <v>-14</v>
      </c>
      <c r="BS88" s="5"/>
      <c r="BT88" s="5">
        <v>66</v>
      </c>
      <c r="BU88" s="413" t="s">
        <v>3615</v>
      </c>
      <c r="BV88" s="145">
        <v>621</v>
      </c>
      <c r="BW88" s="916">
        <v>2.97</v>
      </c>
      <c r="BX88" s="145">
        <v>3952</v>
      </c>
      <c r="BY88" s="145">
        <v>-15</v>
      </c>
      <c r="BZ88" s="5"/>
      <c r="CA88" s="5">
        <v>66</v>
      </c>
      <c r="CB88" s="413" t="s">
        <v>718</v>
      </c>
      <c r="CC88" s="145"/>
      <c r="CD88" s="916"/>
      <c r="CE88" s="145"/>
      <c r="CF88" s="145"/>
      <c r="CG88" s="5"/>
      <c r="CH88" s="5"/>
      <c r="CI88" s="5"/>
    </row>
    <row r="89" spans="2:87" ht="15.75" hidden="1" customHeight="1" x14ac:dyDescent="0.2">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3616</v>
      </c>
      <c r="Y89" s="145">
        <v>690</v>
      </c>
      <c r="Z89" s="916">
        <v>2.97</v>
      </c>
      <c r="AA89" s="145">
        <v>4190</v>
      </c>
      <c r="AB89" s="145">
        <v>-16</v>
      </c>
      <c r="AD89" s="5">
        <v>67</v>
      </c>
      <c r="AE89" s="413" t="s">
        <v>3617</v>
      </c>
      <c r="AF89" s="145">
        <v>274</v>
      </c>
      <c r="AG89" s="916">
        <v>3.36</v>
      </c>
      <c r="AH89" s="145">
        <v>3544</v>
      </c>
      <c r="AI89" s="145">
        <v>-13</v>
      </c>
      <c r="AK89" s="5">
        <v>67</v>
      </c>
      <c r="AL89" s="413" t="s">
        <v>3618</v>
      </c>
      <c r="AM89" s="145">
        <v>800</v>
      </c>
      <c r="AN89" s="916">
        <v>2.58</v>
      </c>
      <c r="AO89" s="145">
        <v>4285</v>
      </c>
      <c r="AP89" s="145">
        <v>-15</v>
      </c>
      <c r="AR89" s="5">
        <v>67</v>
      </c>
      <c r="AS89" s="413" t="s">
        <v>3619</v>
      </c>
      <c r="AT89" s="145">
        <v>180</v>
      </c>
      <c r="AU89" s="916">
        <v>3.47</v>
      </c>
      <c r="AV89" s="145">
        <v>3422</v>
      </c>
      <c r="AW89" s="145">
        <v>-13</v>
      </c>
      <c r="AY89" s="5">
        <v>67</v>
      </c>
      <c r="AZ89" s="413" t="s">
        <v>3620</v>
      </c>
      <c r="BA89" s="145">
        <v>475</v>
      </c>
      <c r="BB89" s="916">
        <v>3.33</v>
      </c>
      <c r="BC89" s="145">
        <v>4034</v>
      </c>
      <c r="BD89" s="145">
        <v>-14</v>
      </c>
      <c r="BF89" s="5">
        <v>67</v>
      </c>
      <c r="BG89" s="413" t="s">
        <v>3621</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x14ac:dyDescent="0.2">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x14ac:dyDescent="0.2">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x14ac:dyDescent="0.2">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x14ac:dyDescent="0.2">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3713</v>
      </c>
      <c r="BA93" s="145">
        <v>298</v>
      </c>
      <c r="BB93" s="916">
        <v>3.35</v>
      </c>
      <c r="BC93" s="145">
        <v>3664</v>
      </c>
      <c r="BD93" s="145">
        <v>-14</v>
      </c>
      <c r="BF93" s="5">
        <v>71</v>
      </c>
      <c r="BG93" s="413" t="s">
        <v>3714</v>
      </c>
      <c r="BH93" s="145">
        <v>452</v>
      </c>
      <c r="BI93" s="916">
        <v>3.52</v>
      </c>
      <c r="BJ93" s="145">
        <v>3840</v>
      </c>
      <c r="BK93" s="145">
        <v>-15</v>
      </c>
      <c r="BM93" s="5">
        <v>71</v>
      </c>
      <c r="BN93" s="413" t="s">
        <v>3715</v>
      </c>
      <c r="BO93" s="145">
        <v>234</v>
      </c>
      <c r="BP93" s="916">
        <v>3.19</v>
      </c>
      <c r="BQ93" s="145">
        <v>3513</v>
      </c>
      <c r="BR93" s="145">
        <v>-13</v>
      </c>
      <c r="BS93" s="5"/>
      <c r="BT93" s="5">
        <v>71</v>
      </c>
      <c r="BU93" s="413" t="s">
        <v>3716</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x14ac:dyDescent="0.2">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3717</v>
      </c>
      <c r="Y94" s="145">
        <v>495</v>
      </c>
      <c r="Z94" s="916">
        <v>3.57</v>
      </c>
      <c r="AA94" s="145">
        <v>3681</v>
      </c>
      <c r="AB94" s="145">
        <v>-13</v>
      </c>
      <c r="AD94" s="5">
        <v>72</v>
      </c>
      <c r="AE94" s="413" t="s">
        <v>3718</v>
      </c>
      <c r="AF94" s="145">
        <v>355</v>
      </c>
      <c r="AG94" s="916">
        <v>3.03</v>
      </c>
      <c r="AH94" s="145">
        <v>3784</v>
      </c>
      <c r="AI94" s="145">
        <v>-13</v>
      </c>
      <c r="AK94" s="5">
        <v>72</v>
      </c>
      <c r="AL94" s="413" t="s">
        <v>3719</v>
      </c>
      <c r="AM94" s="145">
        <v>446</v>
      </c>
      <c r="AN94" s="916">
        <v>2.27</v>
      </c>
      <c r="AO94" s="145">
        <v>3935</v>
      </c>
      <c r="AP94" s="145">
        <v>-16</v>
      </c>
      <c r="AR94" s="5">
        <v>72</v>
      </c>
      <c r="AS94" s="413" t="s">
        <v>3720</v>
      </c>
      <c r="AT94" s="145">
        <v>325</v>
      </c>
      <c r="AU94" s="916">
        <v>2.89</v>
      </c>
      <c r="AV94" s="145">
        <v>3884</v>
      </c>
      <c r="AW94" s="145">
        <v>-15</v>
      </c>
      <c r="AY94" s="5">
        <v>72</v>
      </c>
      <c r="AZ94" s="413" t="s">
        <v>3721</v>
      </c>
      <c r="BA94" s="145">
        <v>455</v>
      </c>
      <c r="BB94" s="916">
        <v>3.14</v>
      </c>
      <c r="BC94" s="145">
        <v>3828</v>
      </c>
      <c r="BD94" s="145">
        <v>-15</v>
      </c>
      <c r="BF94" s="5">
        <v>72</v>
      </c>
      <c r="BG94" s="413" t="s">
        <v>3722</v>
      </c>
      <c r="BH94" s="145">
        <v>400</v>
      </c>
      <c r="BI94" s="916">
        <v>3.33</v>
      </c>
      <c r="BJ94" s="145">
        <v>3750</v>
      </c>
      <c r="BK94" s="145">
        <v>-15</v>
      </c>
      <c r="BM94" s="5">
        <v>72</v>
      </c>
      <c r="BN94" s="413" t="s">
        <v>3723</v>
      </c>
      <c r="BO94" s="145">
        <v>551</v>
      </c>
      <c r="BP94" s="916">
        <v>3.05</v>
      </c>
      <c r="BQ94" s="145">
        <v>3865</v>
      </c>
      <c r="BR94" s="145">
        <v>-14</v>
      </c>
      <c r="BS94" s="5"/>
      <c r="BT94" s="5">
        <v>72</v>
      </c>
      <c r="BU94" s="413" t="s">
        <v>3724</v>
      </c>
      <c r="BV94" s="145">
        <v>558</v>
      </c>
      <c r="BW94" s="916">
        <v>2.59</v>
      </c>
      <c r="BX94" s="145">
        <v>4075</v>
      </c>
      <c r="BY94" s="145">
        <v>-15</v>
      </c>
      <c r="BZ94" s="5"/>
      <c r="CA94" s="5">
        <v>72</v>
      </c>
      <c r="CB94" s="413" t="s">
        <v>718</v>
      </c>
      <c r="CC94" s="145"/>
      <c r="CD94" s="916"/>
      <c r="CE94" s="145"/>
      <c r="CF94" s="145"/>
      <c r="CG94" s="5"/>
      <c r="CH94" s="5"/>
      <c r="CI94" s="5"/>
    </row>
    <row r="95" spans="2:87" ht="15.75" customHeight="1" x14ac:dyDescent="0.2">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3725</v>
      </c>
      <c r="Y95" s="145">
        <v>1013</v>
      </c>
      <c r="Z95" s="916">
        <v>2.44</v>
      </c>
      <c r="AA95" s="145">
        <v>4918</v>
      </c>
      <c r="AB95" s="145">
        <v>-16</v>
      </c>
      <c r="AD95" s="5">
        <v>73</v>
      </c>
      <c r="AE95" s="413" t="s">
        <v>3726</v>
      </c>
      <c r="AF95" s="145">
        <v>315</v>
      </c>
      <c r="AG95" s="916">
        <v>3.09</v>
      </c>
      <c r="AH95" s="145">
        <v>3704</v>
      </c>
      <c r="AI95" s="145">
        <v>-13</v>
      </c>
      <c r="AK95" s="5">
        <v>73</v>
      </c>
      <c r="AL95" s="413" t="s">
        <v>3727</v>
      </c>
      <c r="AM95" s="145">
        <v>454</v>
      </c>
      <c r="AN95" s="916">
        <v>2.3199999999999998</v>
      </c>
      <c r="AO95" s="145">
        <v>3942</v>
      </c>
      <c r="AP95" s="145">
        <v>-16</v>
      </c>
      <c r="AR95" s="5">
        <v>73</v>
      </c>
      <c r="AS95" s="413" t="s">
        <v>3728</v>
      </c>
      <c r="AT95" s="145">
        <v>243</v>
      </c>
      <c r="AU95" s="916">
        <v>3.44</v>
      </c>
      <c r="AV95" s="145">
        <v>3462</v>
      </c>
      <c r="AW95" s="145">
        <v>-13</v>
      </c>
      <c r="AY95" s="5">
        <v>73</v>
      </c>
      <c r="AZ95" s="413" t="s">
        <v>3729</v>
      </c>
      <c r="BA95" s="145">
        <v>555</v>
      </c>
      <c r="BB95" s="916">
        <v>3.1</v>
      </c>
      <c r="BC95" s="145">
        <v>3921</v>
      </c>
      <c r="BD95" s="145">
        <v>-15</v>
      </c>
      <c r="BF95" s="5">
        <v>73</v>
      </c>
      <c r="BG95" s="413" t="s">
        <v>3730</v>
      </c>
      <c r="BH95" s="145">
        <v>1664</v>
      </c>
      <c r="BI95" s="916">
        <v>1.22</v>
      </c>
      <c r="BJ95" s="145">
        <v>6159</v>
      </c>
      <c r="BK95" s="145">
        <v>-20</v>
      </c>
      <c r="BM95" s="5">
        <v>73</v>
      </c>
      <c r="BN95" s="413" t="s">
        <v>3731</v>
      </c>
      <c r="BO95" s="145">
        <v>709</v>
      </c>
      <c r="BP95" s="916">
        <v>2.77</v>
      </c>
      <c r="BQ95" s="145">
        <v>4203</v>
      </c>
      <c r="BR95" s="145">
        <v>-14</v>
      </c>
      <c r="BS95" s="5"/>
      <c r="BT95" s="5">
        <v>73</v>
      </c>
      <c r="BU95" s="413" t="s">
        <v>3732</v>
      </c>
      <c r="BV95" s="145">
        <v>1256</v>
      </c>
      <c r="BW95" s="916">
        <v>2.09</v>
      </c>
      <c r="BX95" s="145">
        <v>5175</v>
      </c>
      <c r="BY95" s="145">
        <v>-18</v>
      </c>
      <c r="BZ95" s="5"/>
      <c r="CA95" s="5">
        <v>73</v>
      </c>
      <c r="CB95" s="413" t="s">
        <v>718</v>
      </c>
      <c r="CC95" s="145"/>
      <c r="CD95" s="916"/>
      <c r="CE95" s="145"/>
      <c r="CF95" s="145"/>
      <c r="CG95" s="5"/>
      <c r="CH95" s="5"/>
      <c r="CI95" s="5"/>
    </row>
    <row r="96" spans="2:87" ht="15.75" customHeight="1" x14ac:dyDescent="0.2">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3733</v>
      </c>
      <c r="Y96" s="145">
        <v>573</v>
      </c>
      <c r="Z96" s="916">
        <v>3.17</v>
      </c>
      <c r="AA96" s="145">
        <v>3939</v>
      </c>
      <c r="AB96" s="145">
        <v>-15</v>
      </c>
      <c r="AD96" s="5">
        <v>74</v>
      </c>
      <c r="AE96" s="413" t="s">
        <v>3734</v>
      </c>
      <c r="AF96" s="145">
        <v>130</v>
      </c>
      <c r="AG96" s="916">
        <v>3.43</v>
      </c>
      <c r="AH96" s="145">
        <v>3364</v>
      </c>
      <c r="AI96" s="145">
        <v>-13</v>
      </c>
      <c r="AK96" s="5">
        <v>74</v>
      </c>
      <c r="AL96" s="413" t="s">
        <v>3735</v>
      </c>
      <c r="AM96" s="145">
        <v>460</v>
      </c>
      <c r="AN96" s="916">
        <v>2.29</v>
      </c>
      <c r="AO96" s="145">
        <v>3950</v>
      </c>
      <c r="AP96" s="145">
        <v>-16</v>
      </c>
      <c r="AR96" s="5">
        <v>74</v>
      </c>
      <c r="AS96" s="413" t="s">
        <v>3736</v>
      </c>
      <c r="AT96" s="145">
        <v>270</v>
      </c>
      <c r="AU96" s="916">
        <v>3.25</v>
      </c>
      <c r="AV96" s="145">
        <v>3686</v>
      </c>
      <c r="AW96" s="145">
        <v>-14</v>
      </c>
      <c r="AY96" s="5">
        <v>74</v>
      </c>
      <c r="AZ96" s="413" t="s">
        <v>3737</v>
      </c>
      <c r="BA96" s="145">
        <v>554</v>
      </c>
      <c r="BB96" s="916">
        <v>3.05</v>
      </c>
      <c r="BC96" s="145">
        <v>4050</v>
      </c>
      <c r="BD96" s="145">
        <v>-15</v>
      </c>
      <c r="BF96" s="5">
        <v>74</v>
      </c>
      <c r="BG96" s="413" t="s">
        <v>3738</v>
      </c>
      <c r="BH96" s="145">
        <v>508</v>
      </c>
      <c r="BI96" s="916">
        <v>3.23</v>
      </c>
      <c r="BJ96" s="145">
        <v>3858</v>
      </c>
      <c r="BK96" s="145">
        <v>-15</v>
      </c>
      <c r="BM96" s="5">
        <v>74</v>
      </c>
      <c r="BN96" s="413" t="s">
        <v>3739</v>
      </c>
      <c r="BO96" s="145">
        <v>384</v>
      </c>
      <c r="BP96" s="916">
        <v>3.27</v>
      </c>
      <c r="BQ96" s="145">
        <v>3597</v>
      </c>
      <c r="BR96" s="145">
        <v>-13</v>
      </c>
      <c r="BS96" s="5"/>
      <c r="BT96" s="5">
        <v>74</v>
      </c>
      <c r="BU96" s="413" t="s">
        <v>3740</v>
      </c>
      <c r="BV96" s="145">
        <v>1358</v>
      </c>
      <c r="BW96" s="916">
        <v>1.74</v>
      </c>
      <c r="BX96" s="145">
        <v>5514</v>
      </c>
      <c r="BY96" s="145">
        <v>-17</v>
      </c>
      <c r="BZ96" s="5"/>
      <c r="CA96" s="5">
        <v>74</v>
      </c>
      <c r="CB96" s="413" t="s">
        <v>718</v>
      </c>
      <c r="CC96" s="145"/>
      <c r="CD96" s="916"/>
      <c r="CE96" s="145"/>
      <c r="CF96" s="145"/>
      <c r="CG96" s="5"/>
      <c r="CH96" s="5"/>
      <c r="CI96" s="5"/>
    </row>
    <row r="97" spans="6:87" ht="15.75" customHeight="1" x14ac:dyDescent="0.2">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3741</v>
      </c>
      <c r="Y97" s="145">
        <v>880</v>
      </c>
      <c r="Z97" s="916">
        <v>2.3199999999999998</v>
      </c>
      <c r="AA97" s="145">
        <v>4738</v>
      </c>
      <c r="AB97" s="145">
        <v>-18</v>
      </c>
      <c r="AD97" s="5">
        <v>75</v>
      </c>
      <c r="AE97" s="413" t="s">
        <v>3742</v>
      </c>
      <c r="AF97" s="145">
        <v>285</v>
      </c>
      <c r="AG97" s="916">
        <v>3.37</v>
      </c>
      <c r="AH97" s="145">
        <v>3476</v>
      </c>
      <c r="AI97" s="145">
        <v>-12</v>
      </c>
      <c r="AK97" s="5">
        <v>75</v>
      </c>
      <c r="AL97" s="413" t="s">
        <v>3743</v>
      </c>
      <c r="AM97" s="145">
        <v>575</v>
      </c>
      <c r="AN97" s="916">
        <v>2.4900000000000002</v>
      </c>
      <c r="AO97" s="145">
        <v>4097</v>
      </c>
      <c r="AP97" s="145">
        <v>-15</v>
      </c>
      <c r="AR97" s="5">
        <v>75</v>
      </c>
      <c r="AS97" s="413" t="s">
        <v>3744</v>
      </c>
      <c r="AT97" s="145">
        <v>576</v>
      </c>
      <c r="AU97" s="916">
        <v>2.46</v>
      </c>
      <c r="AV97" s="145">
        <v>4472</v>
      </c>
      <c r="AW97" s="145">
        <v>-17</v>
      </c>
      <c r="AY97" s="5">
        <v>75</v>
      </c>
      <c r="AZ97" s="413" t="s">
        <v>3745</v>
      </c>
      <c r="BA97" s="145">
        <v>388</v>
      </c>
      <c r="BB97" s="916">
        <v>3.14</v>
      </c>
      <c r="BC97" s="145">
        <v>3861</v>
      </c>
      <c r="BD97" s="145">
        <v>-15</v>
      </c>
      <c r="BF97" s="5">
        <v>75</v>
      </c>
      <c r="BG97" s="413" t="s">
        <v>3746</v>
      </c>
      <c r="BH97" s="145">
        <v>553</v>
      </c>
      <c r="BI97" s="916">
        <v>2.5099999999999998</v>
      </c>
      <c r="BJ97" s="145">
        <v>4233</v>
      </c>
      <c r="BK97" s="145">
        <v>-16</v>
      </c>
      <c r="BM97" s="5">
        <v>75</v>
      </c>
      <c r="BN97" s="413" t="s">
        <v>3747</v>
      </c>
      <c r="BO97" s="145">
        <v>377</v>
      </c>
      <c r="BP97" s="916">
        <v>3.28</v>
      </c>
      <c r="BQ97" s="145">
        <v>3544</v>
      </c>
      <c r="BR97" s="145">
        <v>-13</v>
      </c>
      <c r="BS97" s="5"/>
      <c r="BT97" s="5">
        <v>75</v>
      </c>
      <c r="BU97" s="413" t="s">
        <v>3748</v>
      </c>
      <c r="BV97" s="145">
        <v>610</v>
      </c>
      <c r="BW97" s="916">
        <v>2.92</v>
      </c>
      <c r="BX97" s="145">
        <v>3929</v>
      </c>
      <c r="BY97" s="145">
        <v>-15</v>
      </c>
      <c r="BZ97" s="5"/>
      <c r="CA97" s="5">
        <v>75</v>
      </c>
      <c r="CB97" s="413" t="s">
        <v>718</v>
      </c>
      <c r="CC97" s="145"/>
      <c r="CD97" s="916"/>
      <c r="CE97" s="145"/>
      <c r="CF97" s="145"/>
      <c r="CG97" s="5"/>
      <c r="CH97" s="5"/>
      <c r="CI97" s="5"/>
    </row>
    <row r="98" spans="6:87" ht="15.75" customHeight="1" x14ac:dyDescent="0.2">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3749</v>
      </c>
      <c r="Y98" s="145">
        <v>687</v>
      </c>
      <c r="Z98" s="916">
        <v>2.93</v>
      </c>
      <c r="AA98" s="145">
        <v>4182</v>
      </c>
      <c r="AB98" s="145">
        <v>-16</v>
      </c>
      <c r="AD98" s="5">
        <v>76</v>
      </c>
      <c r="AE98" s="413" t="s">
        <v>3750</v>
      </c>
      <c r="AF98" s="145">
        <v>260</v>
      </c>
      <c r="AG98" s="916">
        <v>3.39</v>
      </c>
      <c r="AH98" s="145">
        <v>3422</v>
      </c>
      <c r="AI98" s="145">
        <v>-12</v>
      </c>
      <c r="AK98" s="5">
        <v>76</v>
      </c>
      <c r="AL98" s="413" t="s">
        <v>3751</v>
      </c>
      <c r="AM98" s="145">
        <v>630</v>
      </c>
      <c r="AN98" s="916">
        <v>2.21</v>
      </c>
      <c r="AO98" s="145">
        <v>4306</v>
      </c>
      <c r="AP98" s="145">
        <v>-16</v>
      </c>
      <c r="AR98" s="5">
        <v>76</v>
      </c>
      <c r="AS98" s="413" t="s">
        <v>3752</v>
      </c>
      <c r="AT98" s="145">
        <v>300</v>
      </c>
      <c r="AU98" s="916">
        <v>3.24</v>
      </c>
      <c r="AV98" s="145">
        <v>3721</v>
      </c>
      <c r="AW98" s="145">
        <v>-14</v>
      </c>
      <c r="AY98" s="5">
        <v>76</v>
      </c>
      <c r="AZ98" s="413" t="s">
        <v>3753</v>
      </c>
      <c r="BA98" s="145">
        <v>495</v>
      </c>
      <c r="BB98" s="916">
        <v>3.05</v>
      </c>
      <c r="BC98" s="145">
        <v>3967</v>
      </c>
      <c r="BD98" s="145">
        <v>-15</v>
      </c>
      <c r="BF98" s="5">
        <v>76</v>
      </c>
      <c r="BG98" s="413" t="s">
        <v>3754</v>
      </c>
      <c r="BH98" s="145">
        <v>780</v>
      </c>
      <c r="BI98" s="916">
        <v>2.15</v>
      </c>
      <c r="BJ98" s="145">
        <v>4534</v>
      </c>
      <c r="BK98" s="145">
        <v>-18</v>
      </c>
      <c r="BM98" s="5">
        <v>76</v>
      </c>
      <c r="BN98" s="413" t="s">
        <v>3755</v>
      </c>
      <c r="BO98" s="145">
        <v>392</v>
      </c>
      <c r="BP98" s="916">
        <v>3.25</v>
      </c>
      <c r="BQ98" s="145">
        <v>3584</v>
      </c>
      <c r="BR98" s="145">
        <v>-13</v>
      </c>
      <c r="BS98" s="5"/>
      <c r="BT98" s="5">
        <v>76</v>
      </c>
      <c r="BU98" s="413" t="s">
        <v>3756</v>
      </c>
      <c r="BV98" s="145">
        <v>825</v>
      </c>
      <c r="BW98" s="916">
        <v>1.88</v>
      </c>
      <c r="BX98" s="145">
        <v>4784</v>
      </c>
      <c r="BY98" s="145">
        <v>-18</v>
      </c>
      <c r="BZ98" s="5"/>
      <c r="CA98" s="5">
        <v>76</v>
      </c>
      <c r="CB98" s="413" t="s">
        <v>718</v>
      </c>
      <c r="CC98" s="145"/>
      <c r="CD98" s="916"/>
      <c r="CE98" s="145"/>
      <c r="CF98" s="145"/>
      <c r="CG98" s="5"/>
      <c r="CH98" s="5"/>
      <c r="CI98" s="5"/>
    </row>
    <row r="99" spans="6:87" ht="15.75" customHeight="1" x14ac:dyDescent="0.2">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3757</v>
      </c>
      <c r="Y99" s="145">
        <v>648</v>
      </c>
      <c r="Z99" s="916">
        <v>3.09</v>
      </c>
      <c r="AA99" s="145">
        <v>4058</v>
      </c>
      <c r="AB99" s="145">
        <v>-16</v>
      </c>
      <c r="AD99" s="5">
        <v>77</v>
      </c>
      <c r="AE99" s="413" t="s">
        <v>3758</v>
      </c>
      <c r="AF99" s="145">
        <v>137</v>
      </c>
      <c r="AG99" s="916">
        <v>3.43</v>
      </c>
      <c r="AH99" s="145">
        <v>3397</v>
      </c>
      <c r="AI99" s="145">
        <v>-14</v>
      </c>
      <c r="AK99" s="5">
        <v>77</v>
      </c>
      <c r="AL99" s="413" t="s">
        <v>3759</v>
      </c>
      <c r="AM99" s="145">
        <v>729</v>
      </c>
      <c r="AN99" s="916">
        <v>2.0699999999999998</v>
      </c>
      <c r="AO99" s="145">
        <v>4591</v>
      </c>
      <c r="AP99" s="145">
        <v>-17</v>
      </c>
      <c r="AR99" s="5">
        <v>77</v>
      </c>
      <c r="AS99" s="413" t="s">
        <v>3760</v>
      </c>
      <c r="AT99" s="145">
        <v>580</v>
      </c>
      <c r="AU99" s="916">
        <v>2.46</v>
      </c>
      <c r="AV99" s="145">
        <v>4491</v>
      </c>
      <c r="AW99" s="145">
        <v>-17</v>
      </c>
      <c r="AY99" s="5">
        <v>77</v>
      </c>
      <c r="AZ99" s="413" t="s">
        <v>3761</v>
      </c>
      <c r="BA99" s="145">
        <v>469</v>
      </c>
      <c r="BB99" s="916">
        <v>3.03</v>
      </c>
      <c r="BC99" s="145">
        <v>3970</v>
      </c>
      <c r="BD99" s="145">
        <v>-15</v>
      </c>
      <c r="BF99" s="5">
        <v>77</v>
      </c>
      <c r="BG99" s="413" t="s">
        <v>3762</v>
      </c>
      <c r="BH99" s="145">
        <v>450</v>
      </c>
      <c r="BI99" s="916">
        <v>3.56</v>
      </c>
      <c r="BJ99" s="145">
        <v>3814</v>
      </c>
      <c r="BK99" s="145">
        <v>-15</v>
      </c>
      <c r="BM99" s="5">
        <v>77</v>
      </c>
      <c r="BN99" s="413" t="s">
        <v>3763</v>
      </c>
      <c r="BO99" s="145">
        <v>353</v>
      </c>
      <c r="BP99" s="916">
        <v>3.34</v>
      </c>
      <c r="BQ99" s="145">
        <v>3515</v>
      </c>
      <c r="BR99" s="145">
        <v>-12</v>
      </c>
      <c r="BS99" s="5"/>
      <c r="BT99" s="5">
        <v>77</v>
      </c>
      <c r="BU99" s="413" t="s">
        <v>3764</v>
      </c>
      <c r="BV99" s="145">
        <v>515</v>
      </c>
      <c r="BW99" s="916">
        <v>2.67</v>
      </c>
      <c r="BX99" s="145">
        <v>4091</v>
      </c>
      <c r="BY99" s="145">
        <v>-16</v>
      </c>
      <c r="BZ99" s="5"/>
      <c r="CA99" s="5">
        <v>77</v>
      </c>
      <c r="CB99" s="413" t="s">
        <v>718</v>
      </c>
      <c r="CC99" s="145"/>
      <c r="CD99" s="916"/>
      <c r="CE99" s="145"/>
      <c r="CF99" s="145"/>
      <c r="CG99" s="5"/>
      <c r="CH99" s="5"/>
      <c r="CI99" s="5"/>
    </row>
    <row r="100" spans="6:87" ht="15.75" customHeight="1" x14ac:dyDescent="0.2">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3765</v>
      </c>
      <c r="Y100" s="145">
        <v>1499</v>
      </c>
      <c r="Z100" s="916">
        <v>2.0699999999999998</v>
      </c>
      <c r="AA100" s="145">
        <v>5593</v>
      </c>
      <c r="AB100" s="145">
        <v>-17</v>
      </c>
      <c r="AD100" s="5">
        <v>78</v>
      </c>
      <c r="AE100" s="413" t="s">
        <v>3766</v>
      </c>
      <c r="AF100" s="145">
        <v>121</v>
      </c>
      <c r="AG100" s="916">
        <v>3.37</v>
      </c>
      <c r="AH100" s="145">
        <v>3243</v>
      </c>
      <c r="AI100" s="145">
        <v>-14</v>
      </c>
      <c r="AK100" s="5">
        <v>78</v>
      </c>
      <c r="AL100" s="413" t="s">
        <v>3767</v>
      </c>
      <c r="AM100" s="145">
        <v>1064</v>
      </c>
      <c r="AN100" s="916">
        <v>2.58</v>
      </c>
      <c r="AO100" s="145">
        <v>4668</v>
      </c>
      <c r="AP100" s="145">
        <v>-15</v>
      </c>
      <c r="AR100" s="5">
        <v>78</v>
      </c>
      <c r="AS100" s="413" t="s">
        <v>3768</v>
      </c>
      <c r="AT100" s="145">
        <v>215</v>
      </c>
      <c r="AU100" s="916">
        <v>3.46</v>
      </c>
      <c r="AV100" s="145">
        <v>3672</v>
      </c>
      <c r="AW100" s="145">
        <v>-13</v>
      </c>
      <c r="AY100" s="5">
        <v>78</v>
      </c>
      <c r="AZ100" s="413" t="s">
        <v>3769</v>
      </c>
      <c r="BA100" s="145">
        <v>445</v>
      </c>
      <c r="BB100" s="916">
        <v>3.41</v>
      </c>
      <c r="BC100" s="145">
        <v>3766</v>
      </c>
      <c r="BD100" s="145">
        <v>-14</v>
      </c>
      <c r="BF100" s="5">
        <v>78</v>
      </c>
      <c r="BG100" s="413" t="s">
        <v>3770</v>
      </c>
      <c r="BH100" s="145">
        <v>825</v>
      </c>
      <c r="BI100" s="916">
        <v>1.97</v>
      </c>
      <c r="BJ100" s="145">
        <v>4761</v>
      </c>
      <c r="BK100" s="145">
        <v>-17</v>
      </c>
      <c r="BM100" s="5">
        <v>78</v>
      </c>
      <c r="BN100" s="413" t="s">
        <v>3771</v>
      </c>
      <c r="BO100" s="145">
        <v>360</v>
      </c>
      <c r="BP100" s="916">
        <v>3.33</v>
      </c>
      <c r="BQ100" s="145">
        <v>3517</v>
      </c>
      <c r="BR100" s="145">
        <v>-12</v>
      </c>
      <c r="BS100" s="5"/>
      <c r="BT100" s="5">
        <v>78</v>
      </c>
      <c r="BU100" s="413" t="s">
        <v>3772</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x14ac:dyDescent="0.2">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3773</v>
      </c>
      <c r="Y101" s="145">
        <v>420</v>
      </c>
      <c r="Z101" s="916">
        <v>4</v>
      </c>
      <c r="AA101" s="145">
        <v>3536</v>
      </c>
      <c r="AB101" s="145">
        <v>-12</v>
      </c>
      <c r="AD101" s="5">
        <v>79</v>
      </c>
      <c r="AE101" s="413" t="s">
        <v>3774</v>
      </c>
      <c r="AF101" s="145">
        <v>181</v>
      </c>
      <c r="AG101" s="916">
        <v>3.33</v>
      </c>
      <c r="AH101" s="145">
        <v>3483</v>
      </c>
      <c r="AI101" s="145">
        <v>-14</v>
      </c>
      <c r="AK101" s="5">
        <v>79</v>
      </c>
      <c r="AL101" s="413" t="s">
        <v>3775</v>
      </c>
      <c r="AM101" s="145">
        <v>663</v>
      </c>
      <c r="AN101" s="916">
        <v>2.81</v>
      </c>
      <c r="AO101" s="145">
        <v>4142</v>
      </c>
      <c r="AP101" s="145">
        <v>-15</v>
      </c>
      <c r="AR101" s="5">
        <v>79</v>
      </c>
      <c r="AS101" s="413" t="s">
        <v>3776</v>
      </c>
      <c r="AT101" s="145">
        <v>143</v>
      </c>
      <c r="AU101" s="916">
        <v>3.42</v>
      </c>
      <c r="AV101" s="145">
        <v>3432</v>
      </c>
      <c r="AW101" s="145">
        <v>-14</v>
      </c>
      <c r="AY101" s="5">
        <v>79</v>
      </c>
      <c r="AZ101" s="413" t="s">
        <v>3777</v>
      </c>
      <c r="BA101" s="145">
        <v>779</v>
      </c>
      <c r="BB101" s="916">
        <v>2.16</v>
      </c>
      <c r="BC101" s="145">
        <v>4620</v>
      </c>
      <c r="BD101" s="145">
        <v>-15</v>
      </c>
      <c r="BF101" s="5">
        <v>79</v>
      </c>
      <c r="BG101" s="413" t="s">
        <v>3778</v>
      </c>
      <c r="BH101" s="145">
        <v>975</v>
      </c>
      <c r="BI101" s="916">
        <v>1.74</v>
      </c>
      <c r="BJ101" s="145">
        <v>4986</v>
      </c>
      <c r="BK101" s="145">
        <v>-21</v>
      </c>
      <c r="BM101" s="5">
        <v>79</v>
      </c>
      <c r="BN101" s="413" t="s">
        <v>3779</v>
      </c>
      <c r="BO101" s="145">
        <v>345</v>
      </c>
      <c r="BP101" s="916">
        <v>3.26</v>
      </c>
      <c r="BQ101" s="145">
        <v>3499</v>
      </c>
      <c r="BR101" s="145">
        <v>-13</v>
      </c>
      <c r="BS101" s="5"/>
      <c r="BT101" s="5">
        <v>79</v>
      </c>
      <c r="BU101" s="413" t="s">
        <v>3780</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x14ac:dyDescent="0.2">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3781</v>
      </c>
      <c r="Y102" s="145">
        <v>1717</v>
      </c>
      <c r="Z102" s="916">
        <v>1.48</v>
      </c>
      <c r="AA102" s="145">
        <v>6019</v>
      </c>
      <c r="AB102" s="145">
        <v>-19</v>
      </c>
      <c r="AD102" s="5">
        <v>80</v>
      </c>
      <c r="AE102" s="413" t="s">
        <v>3782</v>
      </c>
      <c r="AF102" s="145">
        <v>368</v>
      </c>
      <c r="AG102" s="916">
        <v>3.22</v>
      </c>
      <c r="AH102" s="145">
        <v>3709</v>
      </c>
      <c r="AI102" s="145">
        <v>-13</v>
      </c>
      <c r="AK102" s="5">
        <v>80</v>
      </c>
      <c r="AL102" s="413" t="s">
        <v>3783</v>
      </c>
      <c r="AM102" s="145">
        <v>790</v>
      </c>
      <c r="AN102" s="916">
        <v>2.82</v>
      </c>
      <c r="AO102" s="145">
        <v>4157</v>
      </c>
      <c r="AP102" s="145">
        <v>-15</v>
      </c>
      <c r="AR102" s="5">
        <v>80</v>
      </c>
      <c r="AS102" s="413" t="s">
        <v>3784</v>
      </c>
      <c r="AT102" s="145">
        <v>252</v>
      </c>
      <c r="AU102" s="916">
        <v>3.27</v>
      </c>
      <c r="AV102" s="145">
        <v>3598</v>
      </c>
      <c r="AW102" s="145">
        <v>-13</v>
      </c>
      <c r="AY102" s="5">
        <v>80</v>
      </c>
      <c r="AZ102" s="413" t="s">
        <v>3785</v>
      </c>
      <c r="BA102" s="145">
        <v>768</v>
      </c>
      <c r="BB102" s="916">
        <v>2.2599999999999998</v>
      </c>
      <c r="BC102" s="145">
        <v>4541</v>
      </c>
      <c r="BD102" s="145">
        <v>-14</v>
      </c>
      <c r="BF102" s="5">
        <v>80</v>
      </c>
      <c r="BG102" s="413" t="s">
        <v>3786</v>
      </c>
      <c r="BH102" s="145">
        <v>948</v>
      </c>
      <c r="BI102" s="916">
        <v>2.27</v>
      </c>
      <c r="BJ102" s="145">
        <v>4805</v>
      </c>
      <c r="BK102" s="145">
        <v>-17</v>
      </c>
      <c r="BM102" s="5">
        <v>80</v>
      </c>
      <c r="BN102" s="413" t="s">
        <v>3787</v>
      </c>
      <c r="BO102" s="145">
        <v>468</v>
      </c>
      <c r="BP102" s="916">
        <v>3.47</v>
      </c>
      <c r="BQ102" s="145">
        <v>3586</v>
      </c>
      <c r="BR102" s="145">
        <v>-12</v>
      </c>
      <c r="BS102" s="5"/>
      <c r="BT102" s="5">
        <v>80</v>
      </c>
      <c r="BU102" s="413" t="s">
        <v>3788</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x14ac:dyDescent="0.2">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3789</v>
      </c>
      <c r="AF103" s="145">
        <v>394</v>
      </c>
      <c r="AG103" s="146">
        <v>3.15</v>
      </c>
      <c r="AH103" s="145">
        <v>3707</v>
      </c>
      <c r="AI103" s="145">
        <v>-13</v>
      </c>
      <c r="AK103" s="5">
        <v>81</v>
      </c>
      <c r="AL103" s="413" t="s">
        <v>3790</v>
      </c>
      <c r="AM103" s="145">
        <v>706</v>
      </c>
      <c r="AN103" s="146">
        <v>2.66</v>
      </c>
      <c r="AO103" s="145">
        <v>4144</v>
      </c>
      <c r="AP103" s="145">
        <v>-15</v>
      </c>
      <c r="AR103" s="5">
        <v>81</v>
      </c>
      <c r="AS103" s="413" t="s">
        <v>3791</v>
      </c>
      <c r="AT103" s="145">
        <v>265</v>
      </c>
      <c r="AU103" s="146">
        <v>3.14</v>
      </c>
      <c r="AV103" s="145">
        <v>3710</v>
      </c>
      <c r="AW103" s="145">
        <v>-14</v>
      </c>
      <c r="AY103" s="5">
        <v>81</v>
      </c>
      <c r="AZ103" s="413" t="s">
        <v>3792</v>
      </c>
      <c r="BA103" s="145">
        <v>540</v>
      </c>
      <c r="BB103" s="146">
        <v>2.79</v>
      </c>
      <c r="BC103" s="145">
        <v>4078</v>
      </c>
      <c r="BD103" s="145">
        <v>-14</v>
      </c>
      <c r="BF103" s="5">
        <v>81</v>
      </c>
      <c r="BG103" s="413" t="s">
        <v>3793</v>
      </c>
      <c r="BH103" s="145">
        <v>817</v>
      </c>
      <c r="BI103" s="146">
        <v>2.0099999999999998</v>
      </c>
      <c r="BJ103" s="145">
        <v>4659</v>
      </c>
      <c r="BK103" s="145">
        <v>-15</v>
      </c>
      <c r="BM103" s="5">
        <v>81</v>
      </c>
      <c r="BN103" s="413" t="s">
        <v>3794</v>
      </c>
      <c r="BO103" s="145">
        <v>347</v>
      </c>
      <c r="BP103" s="146">
        <v>2.96</v>
      </c>
      <c r="BQ103" s="145">
        <v>3663</v>
      </c>
      <c r="BR103" s="145">
        <v>-14</v>
      </c>
      <c r="BS103" s="5"/>
      <c r="BT103" s="5">
        <v>81</v>
      </c>
      <c r="BU103" s="413" t="s">
        <v>3795</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x14ac:dyDescent="0.2">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3796</v>
      </c>
      <c r="AF104" s="145">
        <v>121</v>
      </c>
      <c r="AG104" s="146">
        <v>3.45</v>
      </c>
      <c r="AH104" s="145">
        <v>3377</v>
      </c>
      <c r="AI104" s="145">
        <v>-14</v>
      </c>
      <c r="AK104" s="5">
        <v>82</v>
      </c>
      <c r="AL104" s="413" t="s">
        <v>3797</v>
      </c>
      <c r="AM104" s="145">
        <v>540</v>
      </c>
      <c r="AN104" s="146">
        <v>2.39</v>
      </c>
      <c r="AO104" s="145">
        <v>3998</v>
      </c>
      <c r="AP104" s="145">
        <v>-16</v>
      </c>
      <c r="AR104" s="5">
        <v>82</v>
      </c>
      <c r="AS104" s="413" t="s">
        <v>3798</v>
      </c>
      <c r="AT104" s="145">
        <v>180</v>
      </c>
      <c r="AU104" s="146">
        <v>3.35</v>
      </c>
      <c r="AV104" s="145">
        <v>3529</v>
      </c>
      <c r="AW104" s="145">
        <v>-14</v>
      </c>
      <c r="AY104" s="5">
        <v>82</v>
      </c>
      <c r="AZ104" s="413" t="s">
        <v>3799</v>
      </c>
      <c r="BA104" s="145">
        <v>220</v>
      </c>
      <c r="BB104" s="146">
        <v>3.38</v>
      </c>
      <c r="BC104" s="145">
        <v>3573</v>
      </c>
      <c r="BD104" s="145">
        <v>-13</v>
      </c>
      <c r="BF104" s="5">
        <v>82</v>
      </c>
      <c r="BG104" s="413" t="s">
        <v>3800</v>
      </c>
      <c r="BH104" s="145">
        <v>1003</v>
      </c>
      <c r="BI104" s="146">
        <v>1.8</v>
      </c>
      <c r="BJ104" s="145">
        <v>5113</v>
      </c>
      <c r="BK104" s="145">
        <v>-18</v>
      </c>
      <c r="BM104" s="5">
        <v>82</v>
      </c>
      <c r="BN104" s="413" t="s">
        <v>3801</v>
      </c>
      <c r="BO104" s="145">
        <v>380</v>
      </c>
      <c r="BP104" s="146">
        <v>3.4</v>
      </c>
      <c r="BQ104" s="145">
        <v>3519</v>
      </c>
      <c r="BR104" s="145">
        <v>-12</v>
      </c>
      <c r="BS104" s="5"/>
      <c r="BT104" s="5">
        <v>82</v>
      </c>
      <c r="BU104" s="413" t="s">
        <v>3802</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x14ac:dyDescent="0.2">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3803</v>
      </c>
      <c r="AF105" s="145">
        <v>219</v>
      </c>
      <c r="AG105" s="146">
        <v>3.5</v>
      </c>
      <c r="AH105" s="145">
        <v>3416</v>
      </c>
      <c r="AI105" s="145">
        <v>-13</v>
      </c>
      <c r="AK105" s="5">
        <v>83</v>
      </c>
      <c r="AL105" s="413" t="s">
        <v>3804</v>
      </c>
      <c r="AM105" s="145">
        <v>616</v>
      </c>
      <c r="AN105" s="146">
        <v>2.35</v>
      </c>
      <c r="AO105" s="145">
        <v>4253</v>
      </c>
      <c r="AP105" s="145">
        <v>-16</v>
      </c>
      <c r="AR105" s="5">
        <v>83</v>
      </c>
      <c r="AS105" s="413" t="s">
        <v>3805</v>
      </c>
      <c r="AT105" s="145">
        <v>285</v>
      </c>
      <c r="AU105" s="146">
        <v>3.25</v>
      </c>
      <c r="AV105" s="145">
        <v>3619</v>
      </c>
      <c r="AW105" s="145">
        <v>-14</v>
      </c>
      <c r="AY105" s="5">
        <v>83</v>
      </c>
      <c r="AZ105" s="413" t="s">
        <v>3806</v>
      </c>
      <c r="BA105" s="145">
        <v>335</v>
      </c>
      <c r="BB105" s="146">
        <v>3.27</v>
      </c>
      <c r="BC105" s="145">
        <v>3681</v>
      </c>
      <c r="BD105" s="145">
        <v>-15</v>
      </c>
      <c r="BF105" s="5">
        <v>83</v>
      </c>
      <c r="BG105" s="413" t="s">
        <v>3807</v>
      </c>
      <c r="BH105" s="145">
        <v>740</v>
      </c>
      <c r="BI105" s="146">
        <v>2.4700000000000002</v>
      </c>
      <c r="BJ105" s="145">
        <v>4330</v>
      </c>
      <c r="BK105" s="145">
        <v>-17</v>
      </c>
      <c r="BM105" s="5">
        <v>83</v>
      </c>
      <c r="BN105" s="413" t="s">
        <v>3808</v>
      </c>
      <c r="BO105" s="145">
        <v>385</v>
      </c>
      <c r="BP105" s="146">
        <v>2.76</v>
      </c>
      <c r="BQ105" s="145">
        <v>3776</v>
      </c>
      <c r="BR105" s="145">
        <v>-14</v>
      </c>
      <c r="BS105" s="5"/>
      <c r="BT105" s="5">
        <v>83</v>
      </c>
      <c r="BU105" s="413" t="s">
        <v>3809</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x14ac:dyDescent="0.2">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3810</v>
      </c>
      <c r="AF106" s="145">
        <v>155</v>
      </c>
      <c r="AG106" s="146">
        <v>3.38</v>
      </c>
      <c r="AH106" s="145">
        <v>3424</v>
      </c>
      <c r="AI106" s="145">
        <v>-14</v>
      </c>
      <c r="AK106" s="5">
        <v>84</v>
      </c>
      <c r="AL106" s="413" t="s">
        <v>3811</v>
      </c>
      <c r="AM106" s="145">
        <v>952</v>
      </c>
      <c r="AN106" s="146">
        <v>2.41</v>
      </c>
      <c r="AO106" s="145">
        <v>4679</v>
      </c>
      <c r="AP106" s="145">
        <v>-17</v>
      </c>
      <c r="AR106" s="5">
        <v>84</v>
      </c>
      <c r="AS106" s="413" t="s">
        <v>3812</v>
      </c>
      <c r="AT106" s="145">
        <v>312</v>
      </c>
      <c r="AU106" s="146">
        <v>3.36</v>
      </c>
      <c r="AV106" s="145">
        <v>3562</v>
      </c>
      <c r="AW106" s="145">
        <v>-14</v>
      </c>
      <c r="AY106" s="5">
        <v>84</v>
      </c>
      <c r="AZ106" s="413" t="s">
        <v>3813</v>
      </c>
      <c r="BA106" s="145">
        <v>442</v>
      </c>
      <c r="BB106" s="146">
        <v>3.22</v>
      </c>
      <c r="BC106" s="145">
        <v>3993</v>
      </c>
      <c r="BD106" s="145">
        <v>-15</v>
      </c>
      <c r="BF106" s="5">
        <v>84</v>
      </c>
      <c r="BG106" s="413" t="s">
        <v>1524</v>
      </c>
      <c r="BH106" s="145">
        <v>424</v>
      </c>
      <c r="BI106" s="146">
        <v>3.22</v>
      </c>
      <c r="BJ106" s="145">
        <v>3792</v>
      </c>
      <c r="BK106" s="145">
        <v>-15</v>
      </c>
      <c r="BM106" s="5">
        <v>84</v>
      </c>
      <c r="BN106" s="413" t="s">
        <v>3814</v>
      </c>
      <c r="BO106" s="145">
        <v>350</v>
      </c>
      <c r="BP106" s="146">
        <v>2.95</v>
      </c>
      <c r="BQ106" s="145">
        <v>3665</v>
      </c>
      <c r="BR106" s="145">
        <v>-14</v>
      </c>
      <c r="BS106" s="5"/>
      <c r="BT106" s="5">
        <v>84</v>
      </c>
      <c r="BU106" s="413" t="s">
        <v>3815</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x14ac:dyDescent="0.2">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3816</v>
      </c>
      <c r="AF107" s="145">
        <v>128</v>
      </c>
      <c r="AG107" s="146">
        <v>3.49</v>
      </c>
      <c r="AH107" s="145">
        <v>3352</v>
      </c>
      <c r="AI107" s="145">
        <v>-13</v>
      </c>
      <c r="AK107" s="5">
        <v>85</v>
      </c>
      <c r="AL107" s="413" t="s">
        <v>3817</v>
      </c>
      <c r="AM107" s="145">
        <v>828</v>
      </c>
      <c r="AN107" s="146">
        <v>2.2200000000000002</v>
      </c>
      <c r="AO107" s="145">
        <v>4481</v>
      </c>
      <c r="AP107" s="145">
        <v>-17</v>
      </c>
      <c r="AR107" s="5">
        <v>85</v>
      </c>
      <c r="AS107" s="413" t="s">
        <v>3818</v>
      </c>
      <c r="AT107" s="145">
        <v>230</v>
      </c>
      <c r="AU107" s="146">
        <v>3.3</v>
      </c>
      <c r="AV107" s="145">
        <v>3725</v>
      </c>
      <c r="AW107" s="145">
        <v>-14</v>
      </c>
      <c r="AY107" s="5">
        <v>85</v>
      </c>
      <c r="AZ107" s="413" t="s">
        <v>3819</v>
      </c>
      <c r="BA107" s="145">
        <v>520</v>
      </c>
      <c r="BB107" s="146">
        <v>3.02</v>
      </c>
      <c r="BC107" s="145">
        <v>4211</v>
      </c>
      <c r="BD107" s="145">
        <v>-15</v>
      </c>
      <c r="BF107" s="5">
        <v>85</v>
      </c>
      <c r="BG107" s="413" t="s">
        <v>3820</v>
      </c>
      <c r="BH107" s="145">
        <v>424</v>
      </c>
      <c r="BI107" s="146">
        <v>3.3</v>
      </c>
      <c r="BJ107" s="145">
        <v>3792</v>
      </c>
      <c r="BK107" s="145">
        <v>-15</v>
      </c>
      <c r="BM107" s="5">
        <v>85</v>
      </c>
      <c r="BN107" s="413" t="s">
        <v>3821</v>
      </c>
      <c r="BO107" s="145">
        <v>360</v>
      </c>
      <c r="BP107" s="146">
        <v>3.23</v>
      </c>
      <c r="BQ107" s="145">
        <v>3521</v>
      </c>
      <c r="BR107" s="145">
        <v>-13</v>
      </c>
      <c r="BS107" s="5"/>
      <c r="BT107" s="5">
        <v>85</v>
      </c>
      <c r="BU107" s="413" t="s">
        <v>3822</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x14ac:dyDescent="0.2">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3823</v>
      </c>
      <c r="AF108" s="145">
        <v>295</v>
      </c>
      <c r="AG108" s="146">
        <v>3.27</v>
      </c>
      <c r="AH108" s="145">
        <v>3613</v>
      </c>
      <c r="AI108" s="145">
        <v>-13</v>
      </c>
      <c r="AK108" s="5">
        <v>86</v>
      </c>
      <c r="AL108" s="413" t="s">
        <v>3824</v>
      </c>
      <c r="AM108" s="145">
        <v>458</v>
      </c>
      <c r="AN108" s="146">
        <v>2.33</v>
      </c>
      <c r="AO108" s="145">
        <v>3940</v>
      </c>
      <c r="AP108" s="145">
        <v>-16</v>
      </c>
      <c r="AR108" s="5">
        <v>86</v>
      </c>
      <c r="AS108" s="413" t="s">
        <v>3825</v>
      </c>
      <c r="AT108" s="145">
        <v>293</v>
      </c>
      <c r="AU108" s="146">
        <v>3.01</v>
      </c>
      <c r="AV108" s="145">
        <v>3738</v>
      </c>
      <c r="AW108" s="145">
        <v>-14</v>
      </c>
      <c r="AY108" s="5">
        <v>86</v>
      </c>
      <c r="AZ108" s="413" t="s">
        <v>3826</v>
      </c>
      <c r="BA108" s="145">
        <v>721</v>
      </c>
      <c r="BB108" s="146">
        <v>2.2400000000000002</v>
      </c>
      <c r="BC108" s="145">
        <v>4618</v>
      </c>
      <c r="BD108" s="145">
        <v>-16</v>
      </c>
      <c r="BF108" s="5">
        <v>86</v>
      </c>
      <c r="BG108" s="413" t="s">
        <v>3827</v>
      </c>
      <c r="BH108" s="145">
        <v>433</v>
      </c>
      <c r="BI108" s="146">
        <v>3.25</v>
      </c>
      <c r="BJ108" s="145">
        <v>3803</v>
      </c>
      <c r="BK108" s="145">
        <v>-15</v>
      </c>
      <c r="BM108" s="5">
        <v>86</v>
      </c>
      <c r="BN108" s="413" t="s">
        <v>3828</v>
      </c>
      <c r="BO108" s="145">
        <v>776</v>
      </c>
      <c r="BP108" s="146">
        <v>2.67</v>
      </c>
      <c r="BQ108" s="145">
        <v>4524</v>
      </c>
      <c r="BR108" s="145">
        <v>-15</v>
      </c>
      <c r="BS108" s="5"/>
      <c r="BT108" s="5">
        <v>86</v>
      </c>
      <c r="BU108" s="413" t="s">
        <v>3829</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x14ac:dyDescent="0.2">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3830</v>
      </c>
      <c r="AF109" s="145">
        <v>348</v>
      </c>
      <c r="AG109" s="146">
        <v>3.34</v>
      </c>
      <c r="AH109" s="145">
        <v>3498</v>
      </c>
      <c r="AI109" s="145">
        <v>-13</v>
      </c>
      <c r="AK109" s="5">
        <v>87</v>
      </c>
      <c r="AL109" s="413" t="s">
        <v>3831</v>
      </c>
      <c r="AM109" s="145">
        <v>438</v>
      </c>
      <c r="AN109" s="146">
        <v>2.19</v>
      </c>
      <c r="AO109" s="145">
        <v>4043</v>
      </c>
      <c r="AP109" s="145">
        <v>-16</v>
      </c>
      <c r="AR109" s="5">
        <v>87</v>
      </c>
      <c r="AS109" s="413" t="s">
        <v>3832</v>
      </c>
      <c r="AT109" s="145">
        <v>284</v>
      </c>
      <c r="AU109" s="146">
        <v>3.24</v>
      </c>
      <c r="AV109" s="145">
        <v>3671</v>
      </c>
      <c r="AW109" s="145">
        <v>-14</v>
      </c>
      <c r="AY109" s="5">
        <v>87</v>
      </c>
      <c r="AZ109" s="413" t="s">
        <v>3833</v>
      </c>
      <c r="BA109" s="145">
        <v>370</v>
      </c>
      <c r="BB109" s="146">
        <v>3.49</v>
      </c>
      <c r="BC109" s="145">
        <v>3798</v>
      </c>
      <c r="BD109" s="145">
        <v>-14</v>
      </c>
      <c r="BF109" s="5">
        <v>87</v>
      </c>
      <c r="BG109" s="413" t="s">
        <v>3834</v>
      </c>
      <c r="BH109" s="145">
        <v>450</v>
      </c>
      <c r="BI109" s="146">
        <v>3.22</v>
      </c>
      <c r="BJ109" s="145">
        <v>3826</v>
      </c>
      <c r="BK109" s="145">
        <v>-15</v>
      </c>
      <c r="BM109" s="5">
        <v>87</v>
      </c>
      <c r="BN109" s="413" t="s">
        <v>3835</v>
      </c>
      <c r="BO109" s="145">
        <v>317</v>
      </c>
      <c r="BP109" s="146">
        <v>3.23</v>
      </c>
      <c r="BQ109" s="145">
        <v>3555</v>
      </c>
      <c r="BR109" s="145">
        <v>-13</v>
      </c>
      <c r="BS109" s="5"/>
      <c r="BT109" s="5">
        <v>87</v>
      </c>
      <c r="BU109" s="413" t="s">
        <v>3836</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x14ac:dyDescent="0.2">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3837</v>
      </c>
      <c r="AF110" s="145">
        <v>365</v>
      </c>
      <c r="AG110" s="146">
        <v>3.12</v>
      </c>
      <c r="AH110" s="145">
        <v>3713</v>
      </c>
      <c r="AI110" s="145">
        <v>-13</v>
      </c>
      <c r="AK110" s="5">
        <v>88</v>
      </c>
      <c r="AL110" s="413" t="s">
        <v>3838</v>
      </c>
      <c r="AM110" s="145">
        <v>502</v>
      </c>
      <c r="AN110" s="146">
        <v>2.44</v>
      </c>
      <c r="AO110" s="145">
        <v>3985</v>
      </c>
      <c r="AP110" s="145">
        <v>-16</v>
      </c>
      <c r="AR110" s="5">
        <v>88</v>
      </c>
      <c r="AS110" s="413" t="s">
        <v>3839</v>
      </c>
      <c r="AT110" s="145">
        <v>395</v>
      </c>
      <c r="AU110" s="146">
        <v>3.37</v>
      </c>
      <c r="AV110" s="145">
        <v>3907</v>
      </c>
      <c r="AW110" s="145">
        <v>-14</v>
      </c>
      <c r="AY110" s="5">
        <v>88</v>
      </c>
      <c r="AZ110" s="413" t="s">
        <v>3840</v>
      </c>
      <c r="BA110" s="145">
        <v>523</v>
      </c>
      <c r="BB110" s="146">
        <v>3.24</v>
      </c>
      <c r="BC110" s="145">
        <v>3922</v>
      </c>
      <c r="BD110" s="145">
        <v>-15</v>
      </c>
      <c r="BF110" s="5">
        <v>88</v>
      </c>
      <c r="BG110" s="413" t="s">
        <v>3841</v>
      </c>
      <c r="BH110" s="145">
        <v>460</v>
      </c>
      <c r="BI110" s="146">
        <v>3.23</v>
      </c>
      <c r="BJ110" s="145">
        <v>3840</v>
      </c>
      <c r="BK110" s="145">
        <v>-15</v>
      </c>
      <c r="BM110" s="5">
        <v>88</v>
      </c>
      <c r="BN110" s="413" t="s">
        <v>3842</v>
      </c>
      <c r="BO110" s="145">
        <v>298</v>
      </c>
      <c r="BP110" s="146">
        <v>3.05</v>
      </c>
      <c r="BQ110" s="145">
        <v>3593</v>
      </c>
      <c r="BR110" s="145">
        <v>-14</v>
      </c>
      <c r="BS110" s="5"/>
      <c r="BT110" s="5">
        <v>88</v>
      </c>
      <c r="BU110" s="413" t="s">
        <v>3843</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x14ac:dyDescent="0.2">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3844</v>
      </c>
      <c r="AF111" s="145">
        <v>305</v>
      </c>
      <c r="AG111" s="146">
        <v>3.32</v>
      </c>
      <c r="AH111" s="145">
        <v>3586</v>
      </c>
      <c r="AI111" s="145">
        <v>-13</v>
      </c>
      <c r="AK111" s="5">
        <v>89</v>
      </c>
      <c r="AL111" s="413" t="s">
        <v>3845</v>
      </c>
      <c r="AM111" s="145">
        <v>639</v>
      </c>
      <c r="AN111" s="146">
        <v>2.5499999999999998</v>
      </c>
      <c r="AO111" s="145">
        <v>4100</v>
      </c>
      <c r="AP111" s="145">
        <v>-16</v>
      </c>
      <c r="AR111" s="5">
        <v>89</v>
      </c>
      <c r="AS111" s="413" t="s">
        <v>3846</v>
      </c>
      <c r="AT111" s="145">
        <v>198</v>
      </c>
      <c r="AU111" s="146">
        <v>3.21</v>
      </c>
      <c r="AV111" s="145">
        <v>3644</v>
      </c>
      <c r="AW111" s="145">
        <v>-13</v>
      </c>
      <c r="AY111" s="5">
        <v>89</v>
      </c>
      <c r="AZ111" s="413" t="s">
        <v>3847</v>
      </c>
      <c r="BA111" s="145">
        <v>352</v>
      </c>
      <c r="BB111" s="146">
        <v>3.3</v>
      </c>
      <c r="BC111" s="145">
        <v>3774</v>
      </c>
      <c r="BD111" s="145">
        <v>-14</v>
      </c>
      <c r="BF111" s="5">
        <v>89</v>
      </c>
      <c r="BG111" s="413" t="s">
        <v>3848</v>
      </c>
      <c r="BH111" s="145">
        <v>427</v>
      </c>
      <c r="BI111" s="146">
        <v>3.2</v>
      </c>
      <c r="BJ111" s="145">
        <v>3796</v>
      </c>
      <c r="BK111" s="145">
        <v>-15</v>
      </c>
      <c r="BM111" s="5">
        <v>89</v>
      </c>
      <c r="BN111" s="413" t="s">
        <v>3849</v>
      </c>
      <c r="BO111" s="145">
        <v>644</v>
      </c>
      <c r="BP111" s="146">
        <v>2.13</v>
      </c>
      <c r="BQ111" s="145">
        <v>4378</v>
      </c>
      <c r="BR111" s="145">
        <v>-16</v>
      </c>
      <c r="BS111" s="5"/>
      <c r="BT111" s="5">
        <v>89</v>
      </c>
      <c r="BU111" s="413" t="s">
        <v>3850</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x14ac:dyDescent="0.2">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3851</v>
      </c>
      <c r="AF112" s="145">
        <v>270</v>
      </c>
      <c r="AG112" s="146">
        <v>3.43</v>
      </c>
      <c r="AH112" s="145">
        <v>3512</v>
      </c>
      <c r="AI112" s="145">
        <v>-13</v>
      </c>
      <c r="AK112" s="5">
        <v>90</v>
      </c>
      <c r="AL112" s="413" t="s">
        <v>3852</v>
      </c>
      <c r="AM112" s="145">
        <v>537</v>
      </c>
      <c r="AN112" s="146">
        <v>2.52</v>
      </c>
      <c r="AO112" s="145">
        <v>4055</v>
      </c>
      <c r="AP112" s="145">
        <v>-15</v>
      </c>
      <c r="AR112" s="5">
        <v>90</v>
      </c>
      <c r="AS112" s="413" t="s">
        <v>3853</v>
      </c>
      <c r="AT112" s="145">
        <v>305</v>
      </c>
      <c r="AU112" s="146">
        <v>3.4</v>
      </c>
      <c r="AV112" s="145">
        <v>3752</v>
      </c>
      <c r="AW112" s="145">
        <v>-13</v>
      </c>
      <c r="AY112" s="5">
        <v>90</v>
      </c>
      <c r="AZ112" s="413" t="s">
        <v>3854</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x14ac:dyDescent="0.2">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x14ac:dyDescent="0.2">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x14ac:dyDescent="0.2">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x14ac:dyDescent="0.2">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x14ac:dyDescent="0.2">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x14ac:dyDescent="0.2">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x14ac:dyDescent="0.2">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x14ac:dyDescent="0.2">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x14ac:dyDescent="0.2">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x14ac:dyDescent="0.2">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x14ac:dyDescent="0.2">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x14ac:dyDescent="0.2">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x14ac:dyDescent="0.2">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x14ac:dyDescent="0.2">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x14ac:dyDescent="0.2">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x14ac:dyDescent="0.2">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x14ac:dyDescent="0.2">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x14ac:dyDescent="0.2">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x14ac:dyDescent="0.2">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x14ac:dyDescent="0.2">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x14ac:dyDescent="0.2">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x14ac:dyDescent="0.2">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x14ac:dyDescent="0.2">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x14ac:dyDescent="0.2">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x14ac:dyDescent="0.2">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x14ac:dyDescent="0.2">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x14ac:dyDescent="0.2">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x14ac:dyDescent="0.2">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x14ac:dyDescent="0.2">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x14ac:dyDescent="0.2">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x14ac:dyDescent="0.2">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x14ac:dyDescent="0.2">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x14ac:dyDescent="0.2">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x14ac:dyDescent="0.2">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x14ac:dyDescent="0.2">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x14ac:dyDescent="0.2">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x14ac:dyDescent="0.2">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x14ac:dyDescent="0.2">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x14ac:dyDescent="0.2">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x14ac:dyDescent="0.2">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x14ac:dyDescent="0.2">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x14ac:dyDescent="0.2">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x14ac:dyDescent="0.2">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x14ac:dyDescent="0.2">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x14ac:dyDescent="0.2">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x14ac:dyDescent="0.2">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x14ac:dyDescent="0.2">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x14ac:dyDescent="0.2">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x14ac:dyDescent="0.2">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x14ac:dyDescent="0.2">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x14ac:dyDescent="0.2">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x14ac:dyDescent="0.2">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x14ac:dyDescent="0.2">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x14ac:dyDescent="0.2">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x14ac:dyDescent="0.2">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x14ac:dyDescent="0.2">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x14ac:dyDescent="0.2">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x14ac:dyDescent="0.2">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x14ac:dyDescent="0.2">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x14ac:dyDescent="0.2">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x14ac:dyDescent="0.2">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x14ac:dyDescent="0.2">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x14ac:dyDescent="0.2">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x14ac:dyDescent="0.2">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x14ac:dyDescent="0.2">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x14ac:dyDescent="0.2">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x14ac:dyDescent="0.2">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x14ac:dyDescent="0.2">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x14ac:dyDescent="0.2">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x14ac:dyDescent="0.2">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x14ac:dyDescent="0.2">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x14ac:dyDescent="0.2">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x14ac:dyDescent="0.2">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3921</v>
      </c>
      <c r="BO185" s="145">
        <v>278</v>
      </c>
      <c r="BP185" s="146">
        <v>3.09</v>
      </c>
      <c r="BQ185" s="145">
        <v>3551</v>
      </c>
      <c r="BR185" s="145">
        <v>-13</v>
      </c>
      <c r="BS185" s="5"/>
      <c r="BT185" s="5">
        <v>163</v>
      </c>
      <c r="BU185" s="413" t="s">
        <v>3922</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x14ac:dyDescent="0.2">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3923</v>
      </c>
      <c r="AM186" s="145">
        <v>540</v>
      </c>
      <c r="AN186" s="146">
        <v>2.64</v>
      </c>
      <c r="AO186" s="145">
        <v>3924</v>
      </c>
      <c r="AP186" s="145">
        <v>-15</v>
      </c>
      <c r="AR186" s="5">
        <v>164</v>
      </c>
      <c r="AS186" s="413" t="s">
        <v>3924</v>
      </c>
      <c r="AT186" s="145">
        <v>202</v>
      </c>
      <c r="AU186" s="146">
        <v>3.22</v>
      </c>
      <c r="AV186" s="145">
        <v>3657</v>
      </c>
      <c r="AW186" s="145">
        <v>-13</v>
      </c>
      <c r="AY186" s="5">
        <v>164</v>
      </c>
      <c r="AZ186" s="413" t="s">
        <v>3925</v>
      </c>
      <c r="BA186" s="145">
        <v>390</v>
      </c>
      <c r="BB186" s="146">
        <v>3.19</v>
      </c>
      <c r="BC186" s="145">
        <v>3731</v>
      </c>
      <c r="BD186" s="145">
        <v>-15</v>
      </c>
      <c r="BF186" s="5">
        <v>164</v>
      </c>
      <c r="BG186" s="413" t="s">
        <v>718</v>
      </c>
      <c r="BH186" s="145"/>
      <c r="BI186" s="146"/>
      <c r="BJ186" s="145"/>
      <c r="BK186" s="145"/>
      <c r="BM186" s="5">
        <v>164</v>
      </c>
      <c r="BN186" s="413" t="s">
        <v>3926</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x14ac:dyDescent="0.2">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x14ac:dyDescent="0.2">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x14ac:dyDescent="0.2">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x14ac:dyDescent="0.2">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x14ac:dyDescent="0.2">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x14ac:dyDescent="0.2">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x14ac:dyDescent="0.2">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x14ac:dyDescent="0.2">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x14ac:dyDescent="0.2">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x14ac:dyDescent="0.2">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x14ac:dyDescent="0.2">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x14ac:dyDescent="0.2">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x14ac:dyDescent="0.2">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x14ac:dyDescent="0.2">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x14ac:dyDescent="0.2">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x14ac:dyDescent="0.2">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x14ac:dyDescent="0.2">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x14ac:dyDescent="0.2">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x14ac:dyDescent="0.2">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x14ac:dyDescent="0.2">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x14ac:dyDescent="0.2">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x14ac:dyDescent="0.2">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x14ac:dyDescent="0.2">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x14ac:dyDescent="0.2">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x14ac:dyDescent="0.2">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x14ac:dyDescent="0.2">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x14ac:dyDescent="0.2">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x14ac:dyDescent="0.2">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x14ac:dyDescent="0.2">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x14ac:dyDescent="0.2">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x14ac:dyDescent="0.2">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x14ac:dyDescent="0.2">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x14ac:dyDescent="0.2">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x14ac:dyDescent="0.2">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x14ac:dyDescent="0.2">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x14ac:dyDescent="0.2">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x14ac:dyDescent="0.2">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x14ac:dyDescent="0.2">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x14ac:dyDescent="0.2">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x14ac:dyDescent="0.2">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x14ac:dyDescent="0.2">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x14ac:dyDescent="0.2">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x14ac:dyDescent="0.2">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x14ac:dyDescent="0.2">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x14ac:dyDescent="0.2">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x14ac:dyDescent="0.2">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x14ac:dyDescent="0.2">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x14ac:dyDescent="0.2">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x14ac:dyDescent="0.2">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x14ac:dyDescent="0.2">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x14ac:dyDescent="0.2">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x14ac:dyDescent="0.2">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x14ac:dyDescent="0.2">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x14ac:dyDescent="0.2">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x14ac:dyDescent="0.2">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x14ac:dyDescent="0.2">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x14ac:dyDescent="0.2">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x14ac:dyDescent="0.2">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x14ac:dyDescent="0.2">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x14ac:dyDescent="0.2">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x14ac:dyDescent="0.2">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x14ac:dyDescent="0.2">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x14ac:dyDescent="0.2">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x14ac:dyDescent="0.2">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x14ac:dyDescent="0.2">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x14ac:dyDescent="0.2">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x14ac:dyDescent="0.2">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x14ac:dyDescent="0.2">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x14ac:dyDescent="0.2">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x14ac:dyDescent="0.2">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x14ac:dyDescent="0.2">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x14ac:dyDescent="0.2">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x14ac:dyDescent="0.2">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x14ac:dyDescent="0.2">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x14ac:dyDescent="0.2">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x14ac:dyDescent="0.2">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x14ac:dyDescent="0.2">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x14ac:dyDescent="0.2">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x14ac:dyDescent="0.2">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x14ac:dyDescent="0.2">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x14ac:dyDescent="0.2">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x14ac:dyDescent="0.2">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x14ac:dyDescent="0.2">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x14ac:dyDescent="0.2">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x14ac:dyDescent="0.2">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x14ac:dyDescent="0.2">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x14ac:dyDescent="0.2">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x14ac:dyDescent="0.2">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x14ac:dyDescent="0.2">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x14ac:dyDescent="0.2">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3709</v>
      </c>
      <c r="BA276" s="145">
        <v>750</v>
      </c>
      <c r="BB276" s="146">
        <v>2.89</v>
      </c>
      <c r="BC276" s="145">
        <v>4278</v>
      </c>
      <c r="BD276" s="145">
        <v>-15</v>
      </c>
      <c r="BF276" s="5">
        <v>254</v>
      </c>
      <c r="BG276" s="413" t="s">
        <v>718</v>
      </c>
      <c r="BH276" s="145"/>
      <c r="BI276" s="146"/>
      <c r="BJ276" s="145"/>
      <c r="BK276" s="145"/>
      <c r="BM276" s="5">
        <v>254</v>
      </c>
      <c r="BN276" s="413" t="s">
        <v>3710</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x14ac:dyDescent="0.2">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x14ac:dyDescent="0.2">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x14ac:dyDescent="0.2">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x14ac:dyDescent="0.2">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x14ac:dyDescent="0.2">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x14ac:dyDescent="0.2">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x14ac:dyDescent="0.2">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x14ac:dyDescent="0.2">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x14ac:dyDescent="0.2">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x14ac:dyDescent="0.2">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x14ac:dyDescent="0.2">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x14ac:dyDescent="0.2">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x14ac:dyDescent="0.2">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x14ac:dyDescent="0.2">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x14ac:dyDescent="0.2">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x14ac:dyDescent="0.2">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x14ac:dyDescent="0.2">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x14ac:dyDescent="0.2">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x14ac:dyDescent="0.2">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x14ac:dyDescent="0.2">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x14ac:dyDescent="0.2">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x14ac:dyDescent="0.2">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x14ac:dyDescent="0.2">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x14ac:dyDescent="0.2">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x14ac:dyDescent="0.2">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x14ac:dyDescent="0.2">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x14ac:dyDescent="0.2">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x14ac:dyDescent="0.2">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x14ac:dyDescent="0.2">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x14ac:dyDescent="0.2">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x14ac:dyDescent="0.2">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x14ac:dyDescent="0.2">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x14ac:dyDescent="0.2">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x14ac:dyDescent="0.2">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x14ac:dyDescent="0.2">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x14ac:dyDescent="0.2">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x14ac:dyDescent="0.2">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x14ac:dyDescent="0.2">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x14ac:dyDescent="0.2">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x14ac:dyDescent="0.2">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x14ac:dyDescent="0.2">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x14ac:dyDescent="0.2">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x14ac:dyDescent="0.2">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x14ac:dyDescent="0.2">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x14ac:dyDescent="0.2">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x14ac:dyDescent="0.2">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x14ac:dyDescent="0.2">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x14ac:dyDescent="0.2">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x14ac:dyDescent="0.2">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x14ac:dyDescent="0.2">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x14ac:dyDescent="0.2">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x14ac:dyDescent="0.2">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x14ac:dyDescent="0.2">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x14ac:dyDescent="0.2">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x14ac:dyDescent="0.2">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x14ac:dyDescent="0.2">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x14ac:dyDescent="0.2">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x14ac:dyDescent="0.2">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x14ac:dyDescent="0.2">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x14ac:dyDescent="0.2">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x14ac:dyDescent="0.2">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x14ac:dyDescent="0.2">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x14ac:dyDescent="0.2">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x14ac:dyDescent="0.2">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x14ac:dyDescent="0.2">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x14ac:dyDescent="0.2">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x14ac:dyDescent="0.2">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x14ac:dyDescent="0.2">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x14ac:dyDescent="0.2">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x14ac:dyDescent="0.2">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x14ac:dyDescent="0.2">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x14ac:dyDescent="0.2">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x14ac:dyDescent="0.2">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x14ac:dyDescent="0.2">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x14ac:dyDescent="0.2">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x14ac:dyDescent="0.2">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x14ac:dyDescent="0.2">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x14ac:dyDescent="0.2">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x14ac:dyDescent="0.2">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x14ac:dyDescent="0.2">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x14ac:dyDescent="0.2">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x14ac:dyDescent="0.2">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x14ac:dyDescent="0.2">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x14ac:dyDescent="0.2">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x14ac:dyDescent="0.2">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x14ac:dyDescent="0.2">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x14ac:dyDescent="0.2">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x14ac:dyDescent="0.2">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x14ac:dyDescent="0.2">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x14ac:dyDescent="0.2">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x14ac:dyDescent="0.2">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x14ac:dyDescent="0.2">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x14ac:dyDescent="0.2">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x14ac:dyDescent="0.2">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x14ac:dyDescent="0.2">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x14ac:dyDescent="0.2">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x14ac:dyDescent="0.2">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x14ac:dyDescent="0.2">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x14ac:dyDescent="0.2">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x14ac:dyDescent="0.2">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x14ac:dyDescent="0.2">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x14ac:dyDescent="0.2">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x14ac:dyDescent="0.2">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x14ac:dyDescent="0.2">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3959</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x14ac:dyDescent="0.2">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3960</v>
      </c>
      <c r="AT381" s="145">
        <v>300</v>
      </c>
      <c r="AU381" s="146">
        <v>3.18</v>
      </c>
      <c r="AV381" s="145">
        <v>3835</v>
      </c>
      <c r="AW381" s="145">
        <v>-14</v>
      </c>
      <c r="AY381" s="5">
        <v>359</v>
      </c>
      <c r="AZ381" s="413" t="s">
        <v>3961</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x14ac:dyDescent="0.2">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3962</v>
      </c>
      <c r="AT382" s="145">
        <v>190</v>
      </c>
      <c r="AU382" s="146">
        <v>3.42</v>
      </c>
      <c r="AV382" s="145">
        <v>3516</v>
      </c>
      <c r="AW382" s="145">
        <v>-13</v>
      </c>
      <c r="AY382" s="5">
        <v>360</v>
      </c>
      <c r="AZ382" s="413" t="s">
        <v>3963</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x14ac:dyDescent="0.2">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3964</v>
      </c>
      <c r="AT383" s="145">
        <v>151</v>
      </c>
      <c r="AU383" s="146">
        <v>3.3</v>
      </c>
      <c r="AV383" s="145">
        <v>3507</v>
      </c>
      <c r="AW383" s="145">
        <v>-14</v>
      </c>
      <c r="AY383" s="5">
        <v>361</v>
      </c>
      <c r="AZ383" s="413" t="s">
        <v>3965</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x14ac:dyDescent="0.2">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3966</v>
      </c>
      <c r="AT384" s="145">
        <v>200</v>
      </c>
      <c r="AU384" s="146">
        <v>3.15</v>
      </c>
      <c r="AV384" s="145">
        <v>3605</v>
      </c>
      <c r="AW384" s="145">
        <v>-14</v>
      </c>
      <c r="AY384" s="5">
        <v>362</v>
      </c>
      <c r="AZ384" s="413" t="s">
        <v>3967</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x14ac:dyDescent="0.2">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3968</v>
      </c>
      <c r="AT385" s="145">
        <v>214</v>
      </c>
      <c r="AU385" s="146">
        <v>3.64</v>
      </c>
      <c r="AV385" s="145">
        <v>3370</v>
      </c>
      <c r="AW385" s="145">
        <v>-13</v>
      </c>
      <c r="AY385" s="5">
        <v>363</v>
      </c>
      <c r="AZ385" s="413" t="s">
        <v>3969</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x14ac:dyDescent="0.2">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3970</v>
      </c>
      <c r="AT386" s="145">
        <v>162</v>
      </c>
      <c r="AU386" s="146">
        <v>3.28</v>
      </c>
      <c r="AV386" s="145">
        <v>3512</v>
      </c>
      <c r="AW386" s="145">
        <v>-14</v>
      </c>
      <c r="AY386" s="5">
        <v>364</v>
      </c>
      <c r="AZ386" s="413" t="s">
        <v>3971</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x14ac:dyDescent="0.2">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3972</v>
      </c>
      <c r="AT387" s="145">
        <v>330</v>
      </c>
      <c r="AU387" s="146">
        <v>3.28</v>
      </c>
      <c r="AV387" s="145">
        <v>3728</v>
      </c>
      <c r="AW387" s="145">
        <v>-14</v>
      </c>
      <c r="AY387" s="5">
        <v>365</v>
      </c>
      <c r="AZ387" s="413" t="s">
        <v>3973</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x14ac:dyDescent="0.2">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x14ac:dyDescent="0.2">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x14ac:dyDescent="0.2">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x14ac:dyDescent="0.2">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x14ac:dyDescent="0.2">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x14ac:dyDescent="0.2">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x14ac:dyDescent="0.2">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x14ac:dyDescent="0.2">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x14ac:dyDescent="0.2">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x14ac:dyDescent="0.2">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x14ac:dyDescent="0.2">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x14ac:dyDescent="0.2">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x14ac:dyDescent="0.2">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x14ac:dyDescent="0.2">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x14ac:dyDescent="0.2">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x14ac:dyDescent="0.2">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x14ac:dyDescent="0.2">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x14ac:dyDescent="0.2">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x14ac:dyDescent="0.2">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x14ac:dyDescent="0.2">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x14ac:dyDescent="0.2">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x14ac:dyDescent="0.2">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x14ac:dyDescent="0.2">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x14ac:dyDescent="0.2">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x14ac:dyDescent="0.2">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x14ac:dyDescent="0.2">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x14ac:dyDescent="0.2">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x14ac:dyDescent="0.2">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x14ac:dyDescent="0.2">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x14ac:dyDescent="0.2">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x14ac:dyDescent="0.2">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x14ac:dyDescent="0.2">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x14ac:dyDescent="0.2">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x14ac:dyDescent="0.2">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x14ac:dyDescent="0.2">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x14ac:dyDescent="0.2">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x14ac:dyDescent="0.2">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x14ac:dyDescent="0.2">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x14ac:dyDescent="0.2">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x14ac:dyDescent="0.2">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x14ac:dyDescent="0.2">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x14ac:dyDescent="0.2">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x14ac:dyDescent="0.2">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x14ac:dyDescent="0.2">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x14ac:dyDescent="0.2">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x14ac:dyDescent="0.2">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x14ac:dyDescent="0.2">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x14ac:dyDescent="0.2">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x14ac:dyDescent="0.2">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x14ac:dyDescent="0.2">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x14ac:dyDescent="0.2">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x14ac:dyDescent="0.2">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x14ac:dyDescent="0.2">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x14ac:dyDescent="0.2">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x14ac:dyDescent="0.2">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x14ac:dyDescent="0.2">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x14ac:dyDescent="0.2">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x14ac:dyDescent="0.2">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x14ac:dyDescent="0.2">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x14ac:dyDescent="0.2">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x14ac:dyDescent="0.2">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x14ac:dyDescent="0.2">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x14ac:dyDescent="0.2">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x14ac:dyDescent="0.2">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x14ac:dyDescent="0.2">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x14ac:dyDescent="0.2">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x14ac:dyDescent="0.2">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x14ac:dyDescent="0.2">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x14ac:dyDescent="0.2">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x14ac:dyDescent="0.2">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x14ac:dyDescent="0.2">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x14ac:dyDescent="0.2">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x14ac:dyDescent="0.2">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x14ac:dyDescent="0.2">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x14ac:dyDescent="0.2">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x14ac:dyDescent="0.2">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x14ac:dyDescent="0.2">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x14ac:dyDescent="0.2">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x14ac:dyDescent="0.2">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x14ac:dyDescent="0.2">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x14ac:dyDescent="0.2">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x14ac:dyDescent="0.2">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x14ac:dyDescent="0.2">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x14ac:dyDescent="0.2">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x14ac:dyDescent="0.2">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x14ac:dyDescent="0.2">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x14ac:dyDescent="0.2">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x14ac:dyDescent="0.2">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x14ac:dyDescent="0.2">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x14ac:dyDescent="0.2">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x14ac:dyDescent="0.2">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x14ac:dyDescent="0.2">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x14ac:dyDescent="0.2">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x14ac:dyDescent="0.2">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x14ac:dyDescent="0.2">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x14ac:dyDescent="0.2">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x14ac:dyDescent="0.2">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x14ac:dyDescent="0.2">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x14ac:dyDescent="0.2">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x14ac:dyDescent="0.2">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x14ac:dyDescent="0.2">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x14ac:dyDescent="0.2">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x14ac:dyDescent="0.2">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x14ac:dyDescent="0.2">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x14ac:dyDescent="0.2">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x14ac:dyDescent="0.2">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x14ac:dyDescent="0.2">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x14ac:dyDescent="0.2">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x14ac:dyDescent="0.2">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x14ac:dyDescent="0.2">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x14ac:dyDescent="0.2">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x14ac:dyDescent="0.2">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x14ac:dyDescent="0.2">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x14ac:dyDescent="0.2">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x14ac:dyDescent="0.2">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x14ac:dyDescent="0.2">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x14ac:dyDescent="0.2">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x14ac:dyDescent="0.2">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x14ac:dyDescent="0.2">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x14ac:dyDescent="0.2">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x14ac:dyDescent="0.2">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x14ac:dyDescent="0.2">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x14ac:dyDescent="0.2">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x14ac:dyDescent="0.2">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x14ac:dyDescent="0.2">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x14ac:dyDescent="0.2">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x14ac:dyDescent="0.2">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x14ac:dyDescent="0.2">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x14ac:dyDescent="0.2">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x14ac:dyDescent="0.2">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x14ac:dyDescent="0.2">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x14ac:dyDescent="0.2">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x14ac:dyDescent="0.2">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x14ac:dyDescent="0.2">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x14ac:dyDescent="0.2">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x14ac:dyDescent="0.2">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x14ac:dyDescent="0.2">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x14ac:dyDescent="0.2">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x14ac:dyDescent="0.2">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x14ac:dyDescent="0.2">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x14ac:dyDescent="0.2">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x14ac:dyDescent="0.2">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x14ac:dyDescent="0.2">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x14ac:dyDescent="0.2">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x14ac:dyDescent="0.2">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x14ac:dyDescent="0.2">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x14ac:dyDescent="0.2">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x14ac:dyDescent="0.2">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x14ac:dyDescent="0.2">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x14ac:dyDescent="0.2">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x14ac:dyDescent="0.2">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x14ac:dyDescent="0.2">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x14ac:dyDescent="0.2">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x14ac:dyDescent="0.2">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x14ac:dyDescent="0.2">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x14ac:dyDescent="0.2">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x14ac:dyDescent="0.2">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x14ac:dyDescent="0.2">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x14ac:dyDescent="0.2">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x14ac:dyDescent="0.2">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x14ac:dyDescent="0.2">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x14ac:dyDescent="0.2">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x14ac:dyDescent="0.2">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x14ac:dyDescent="0.2">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x14ac:dyDescent="0.2">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x14ac:dyDescent="0.2">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x14ac:dyDescent="0.2">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x14ac:dyDescent="0.2">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x14ac:dyDescent="0.2">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x14ac:dyDescent="0.2">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x14ac:dyDescent="0.2">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x14ac:dyDescent="0.2">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x14ac:dyDescent="0.2">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x14ac:dyDescent="0.2">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x14ac:dyDescent="0.2">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x14ac:dyDescent="0.2">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x14ac:dyDescent="0.2">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x14ac:dyDescent="0.2">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x14ac:dyDescent="0.2">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x14ac:dyDescent="0.2">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x14ac:dyDescent="0.2">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x14ac:dyDescent="0.2">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x14ac:dyDescent="0.2">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x14ac:dyDescent="0.2">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x14ac:dyDescent="0.2">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x14ac:dyDescent="0.2">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x14ac:dyDescent="0.2">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x14ac:dyDescent="0.2">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x14ac:dyDescent="0.2">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x14ac:dyDescent="0.2">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x14ac:dyDescent="0.2">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x14ac:dyDescent="0.2">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x14ac:dyDescent="0.2">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x14ac:dyDescent="0.2">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3765</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x14ac:dyDescent="0.2">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x14ac:dyDescent="0.2">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x14ac:dyDescent="0.2">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x14ac:dyDescent="0.2">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x14ac:dyDescent="0.2">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x14ac:dyDescent="0.2">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x14ac:dyDescent="0.2">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x14ac:dyDescent="0.2">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x14ac:dyDescent="0.2">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x14ac:dyDescent="0.2">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x14ac:dyDescent="0.2">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x14ac:dyDescent="0.2">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x14ac:dyDescent="0.2">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x14ac:dyDescent="0.2">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x14ac:dyDescent="0.2">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x14ac:dyDescent="0.2">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x14ac:dyDescent="0.2">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x14ac:dyDescent="0.2">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x14ac:dyDescent="0.2">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x14ac:dyDescent="0.2">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x14ac:dyDescent="0.2">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x14ac:dyDescent="0.2">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x14ac:dyDescent="0.2">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x14ac:dyDescent="0.2">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x14ac:dyDescent="0.2">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x14ac:dyDescent="0.2">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x14ac:dyDescent="0.2">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x14ac:dyDescent="0.2">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x14ac:dyDescent="0.2">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x14ac:dyDescent="0.2">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x14ac:dyDescent="0.2">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x14ac:dyDescent="0.2">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x14ac:dyDescent="0.2">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x14ac:dyDescent="0.2">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x14ac:dyDescent="0.2">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x14ac:dyDescent="0.2">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x14ac:dyDescent="0.2">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x14ac:dyDescent="0.2">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x14ac:dyDescent="0.2">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x14ac:dyDescent="0.2">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x14ac:dyDescent="0.2">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x14ac:dyDescent="0.2">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x14ac:dyDescent="0.2">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x14ac:dyDescent="0.2">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x14ac:dyDescent="0.2">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x14ac:dyDescent="0.2">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x14ac:dyDescent="0.2">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x14ac:dyDescent="0.2">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x14ac:dyDescent="0.2">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x14ac:dyDescent="0.2">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x14ac:dyDescent="0.2">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x14ac:dyDescent="0.2">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x14ac:dyDescent="0.2">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x14ac:dyDescent="0.2">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x14ac:dyDescent="0.2">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x14ac:dyDescent="0.2">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x14ac:dyDescent="0.2">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x14ac:dyDescent="0.2">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x14ac:dyDescent="0.2">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x14ac:dyDescent="0.2">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x14ac:dyDescent="0.2">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x14ac:dyDescent="0.2">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x14ac:dyDescent="0.2">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x14ac:dyDescent="0.2">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x14ac:dyDescent="0.2">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x14ac:dyDescent="0.2">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x14ac:dyDescent="0.2">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x14ac:dyDescent="0.2">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x14ac:dyDescent="0.2">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x14ac:dyDescent="0.2">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x14ac:dyDescent="0.2">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x14ac:dyDescent="0.2">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x14ac:dyDescent="0.2">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x14ac:dyDescent="0.2">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x14ac:dyDescent="0.2">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x14ac:dyDescent="0.2">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x14ac:dyDescent="0.2">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x14ac:dyDescent="0.2">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x14ac:dyDescent="0.2">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x14ac:dyDescent="0.2">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x14ac:dyDescent="0.2">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x14ac:dyDescent="0.2">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x14ac:dyDescent="0.2">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x14ac:dyDescent="0.2">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x14ac:dyDescent="0.2">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x14ac:dyDescent="0.2">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x14ac:dyDescent="0.2">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x14ac:dyDescent="0.2">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x14ac:dyDescent="0.2">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x14ac:dyDescent="0.2">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x14ac:dyDescent="0.2">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x14ac:dyDescent="0.2">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x14ac:dyDescent="0.2">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x14ac:dyDescent="0.2">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x14ac:dyDescent="0.2">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x14ac:dyDescent="0.2">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x14ac:dyDescent="0.2">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x14ac:dyDescent="0.2">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x14ac:dyDescent="0.2">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x14ac:dyDescent="0.2">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x14ac:dyDescent="0.2">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x14ac:dyDescent="0.2">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x14ac:dyDescent="0.2">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x14ac:dyDescent="0.2">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x14ac:dyDescent="0.2">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x14ac:dyDescent="0.2">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x14ac:dyDescent="0.2">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x14ac:dyDescent="0.2">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x14ac:dyDescent="0.2">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x14ac:dyDescent="0.2">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x14ac:dyDescent="0.2">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x14ac:dyDescent="0.2">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x14ac:dyDescent="0.2">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x14ac:dyDescent="0.2">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x14ac:dyDescent="0.2">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x14ac:dyDescent="0.2">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x14ac:dyDescent="0.2">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x14ac:dyDescent="0.2">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x14ac:dyDescent="0.2">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x14ac:dyDescent="0.2">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x14ac:dyDescent="0.2">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x14ac:dyDescent="0.2">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x14ac:dyDescent="0.2">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x14ac:dyDescent="0.2">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x14ac:dyDescent="0.2">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x14ac:dyDescent="0.2">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x14ac:dyDescent="0.2">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x14ac:dyDescent="0.2">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x14ac:dyDescent="0.2">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x14ac:dyDescent="0.2">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x14ac:dyDescent="0.2">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x14ac:dyDescent="0.2">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x14ac:dyDescent="0.2">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x14ac:dyDescent="0.2">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x14ac:dyDescent="0.2">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x14ac:dyDescent="0.2">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x14ac:dyDescent="0.2">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x14ac:dyDescent="0.2">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x14ac:dyDescent="0.2">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x14ac:dyDescent="0.2">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x14ac:dyDescent="0.2">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x14ac:dyDescent="0.2">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x14ac:dyDescent="0.2">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x14ac:dyDescent="0.2">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x14ac:dyDescent="0.2">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x14ac:dyDescent="0.2">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x14ac:dyDescent="0.2">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x14ac:dyDescent="0.2">
      <c r="N729" s="5"/>
      <c r="O729" s="5"/>
      <c r="P729" s="5"/>
      <c r="Q729" s="5"/>
      <c r="R729" s="5"/>
      <c r="S729" s="5"/>
      <c r="T729" s="5"/>
      <c r="U729" s="5"/>
      <c r="V729" s="5"/>
    </row>
    <row r="730" spans="13:87" x14ac:dyDescent="0.2">
      <c r="N730" s="5"/>
      <c r="O730" s="5"/>
      <c r="P730" s="5"/>
      <c r="Q730" s="5"/>
      <c r="R730" s="5"/>
      <c r="S730" s="5"/>
      <c r="T730" s="5"/>
      <c r="U730" s="5"/>
      <c r="V730" s="5"/>
    </row>
    <row r="731" spans="13:87" x14ac:dyDescent="0.2">
      <c r="N731" s="5"/>
      <c r="O731" s="5"/>
      <c r="P731" s="5"/>
      <c r="Q731" s="5"/>
      <c r="R731" s="5"/>
      <c r="S731" s="5"/>
      <c r="T731" s="5"/>
      <c r="U731" s="5"/>
      <c r="V731" s="5"/>
    </row>
    <row r="732" spans="13:87" x14ac:dyDescent="0.2">
      <c r="N732" s="5"/>
      <c r="O732" s="5"/>
      <c r="P732" s="5"/>
      <c r="Q732" s="5"/>
      <c r="R732" s="5"/>
      <c r="S732" s="5"/>
      <c r="T732" s="5"/>
      <c r="U732" s="5"/>
      <c r="V732" s="5"/>
    </row>
    <row r="733" spans="13:87" x14ac:dyDescent="0.2">
      <c r="N733" s="5"/>
      <c r="O733" s="5"/>
      <c r="P733" s="5"/>
      <c r="Q733" s="5"/>
      <c r="R733" s="5"/>
      <c r="S733" s="5"/>
      <c r="T733" s="5"/>
      <c r="U733" s="5"/>
      <c r="V733" s="5"/>
    </row>
    <row r="734" spans="13:87" x14ac:dyDescent="0.2">
      <c r="N734" s="5"/>
      <c r="O734" s="5"/>
      <c r="P734" s="5"/>
      <c r="Q734" s="5"/>
      <c r="R734" s="5"/>
      <c r="S734" s="5"/>
      <c r="T734" s="5"/>
      <c r="U734" s="5"/>
      <c r="V734" s="5"/>
    </row>
    <row r="735" spans="13:87" x14ac:dyDescent="0.2">
      <c r="N735" s="5"/>
      <c r="O735" s="5"/>
      <c r="P735" s="5"/>
      <c r="Q735" s="5"/>
      <c r="R735" s="5"/>
      <c r="S735" s="5"/>
      <c r="T735" s="5"/>
      <c r="U735" s="5"/>
      <c r="V735" s="5"/>
    </row>
    <row r="736" spans="13:87" x14ac:dyDescent="0.2">
      <c r="N736" s="5"/>
      <c r="O736" s="5"/>
      <c r="P736" s="5"/>
      <c r="Q736" s="5"/>
      <c r="R736" s="5"/>
      <c r="S736" s="5"/>
      <c r="T736" s="5"/>
      <c r="U736" s="5"/>
      <c r="V736" s="5"/>
    </row>
    <row r="737" spans="14:22" x14ac:dyDescent="0.2">
      <c r="N737" s="5"/>
      <c r="O737" s="5"/>
      <c r="P737" s="5"/>
      <c r="Q737" s="5"/>
      <c r="R737" s="5"/>
      <c r="S737" s="5"/>
      <c r="T737" s="5"/>
      <c r="U737" s="5"/>
      <c r="V737" s="5"/>
    </row>
    <row r="738" spans="14:22" x14ac:dyDescent="0.2">
      <c r="N738" s="5"/>
      <c r="O738" s="5"/>
      <c r="P738" s="5"/>
      <c r="Q738" s="5"/>
      <c r="R738" s="5"/>
      <c r="S738" s="5"/>
      <c r="T738" s="5"/>
      <c r="U738" s="5"/>
      <c r="V738" s="5"/>
    </row>
    <row r="739" spans="14:22" x14ac:dyDescent="0.2">
      <c r="N739" s="5"/>
      <c r="O739" s="5"/>
      <c r="P739" s="5"/>
      <c r="Q739" s="5"/>
      <c r="R739" s="5"/>
      <c r="S739" s="5"/>
      <c r="T739" s="5"/>
      <c r="U739" s="5"/>
      <c r="V739" s="5"/>
    </row>
    <row r="740" spans="14:22" x14ac:dyDescent="0.2">
      <c r="N740" s="5"/>
      <c r="O740" s="5"/>
      <c r="P740" s="5"/>
      <c r="Q740" s="5"/>
      <c r="R740" s="5"/>
      <c r="S740" s="5"/>
      <c r="T740" s="5"/>
      <c r="U740" s="5"/>
      <c r="V740" s="5"/>
    </row>
    <row r="741" spans="14:22" x14ac:dyDescent="0.2">
      <c r="N741" s="5"/>
      <c r="O741" s="5"/>
      <c r="P741" s="5"/>
      <c r="Q741" s="5"/>
      <c r="R741" s="5"/>
      <c r="S741" s="5"/>
      <c r="T741" s="5"/>
      <c r="U741" s="5"/>
      <c r="V741" s="5"/>
    </row>
    <row r="742" spans="14:22" x14ac:dyDescent="0.2">
      <c r="N742" s="5"/>
      <c r="O742" s="5"/>
      <c r="P742" s="5"/>
      <c r="Q742" s="5"/>
      <c r="R742" s="5"/>
      <c r="S742" s="5"/>
      <c r="T742" s="5"/>
      <c r="U742" s="5"/>
      <c r="V742" s="5"/>
    </row>
    <row r="743" spans="14:22" x14ac:dyDescent="0.2">
      <c r="N743" s="5"/>
      <c r="O743" s="5"/>
      <c r="P743" s="5"/>
      <c r="Q743" s="5"/>
      <c r="R743" s="5"/>
      <c r="S743" s="5"/>
      <c r="T743" s="5"/>
      <c r="U743" s="5"/>
      <c r="V743" s="5"/>
    </row>
    <row r="744" spans="14:22" x14ac:dyDescent="0.2">
      <c r="N744" s="5"/>
      <c r="O744" s="5"/>
      <c r="P744" s="5"/>
      <c r="Q744" s="5"/>
      <c r="R744" s="5"/>
      <c r="S744" s="5"/>
      <c r="T744" s="5"/>
      <c r="U744" s="5"/>
      <c r="V744" s="5"/>
    </row>
    <row r="745" spans="14:22" x14ac:dyDescent="0.2">
      <c r="N745" s="5"/>
      <c r="O745" s="5"/>
      <c r="P745" s="5"/>
      <c r="Q745" s="5"/>
      <c r="R745" s="5"/>
      <c r="S745" s="5"/>
      <c r="T745" s="5"/>
      <c r="U745" s="5"/>
      <c r="V745" s="5"/>
    </row>
    <row r="746" spans="14:22" x14ac:dyDescent="0.2">
      <c r="N746" s="5"/>
      <c r="O746" s="5"/>
      <c r="P746" s="5"/>
      <c r="Q746" s="5"/>
      <c r="R746" s="5"/>
      <c r="S746" s="5"/>
      <c r="T746" s="5"/>
      <c r="U746" s="5"/>
      <c r="V746" s="5"/>
    </row>
    <row r="747" spans="14:22" x14ac:dyDescent="0.2">
      <c r="N747" s="5"/>
      <c r="O747" s="5"/>
      <c r="P747" s="5"/>
      <c r="Q747" s="5"/>
      <c r="R747" s="5"/>
      <c r="S747" s="5"/>
      <c r="T747" s="5"/>
      <c r="U747" s="5"/>
      <c r="V747" s="5"/>
    </row>
    <row r="748" spans="14:22" x14ac:dyDescent="0.2">
      <c r="N748" s="5"/>
      <c r="O748" s="5"/>
      <c r="P748" s="5"/>
      <c r="Q748" s="5"/>
      <c r="R748" s="5"/>
      <c r="S748" s="5"/>
      <c r="T748" s="5"/>
      <c r="U748" s="5"/>
      <c r="V748" s="5"/>
    </row>
    <row r="749" spans="14:22" x14ac:dyDescent="0.2">
      <c r="N749" s="5"/>
      <c r="O749" s="5"/>
      <c r="P749" s="5"/>
      <c r="Q749" s="5"/>
      <c r="R749" s="5"/>
      <c r="S749" s="5"/>
      <c r="T749" s="5"/>
      <c r="U749" s="5"/>
      <c r="V749" s="5"/>
    </row>
    <row r="750" spans="14:22" x14ac:dyDescent="0.2">
      <c r="N750" s="5"/>
      <c r="O750" s="5"/>
      <c r="P750" s="5"/>
      <c r="Q750" s="5"/>
      <c r="R750" s="5"/>
      <c r="S750" s="5"/>
      <c r="T750" s="5"/>
      <c r="U750" s="5"/>
      <c r="V750" s="5"/>
    </row>
    <row r="751" spans="14:22" x14ac:dyDescent="0.2">
      <c r="N751" s="5"/>
      <c r="O751" s="5"/>
      <c r="P751" s="5"/>
      <c r="Q751" s="5"/>
      <c r="R751" s="5"/>
      <c r="S751" s="5"/>
      <c r="T751" s="5"/>
      <c r="U751" s="5"/>
      <c r="V751" s="5"/>
    </row>
    <row r="752" spans="14:22" x14ac:dyDescent="0.2">
      <c r="N752" s="5"/>
      <c r="O752" s="5"/>
      <c r="P752" s="5"/>
      <c r="Q752" s="5"/>
      <c r="R752" s="5"/>
      <c r="S752" s="5"/>
      <c r="T752" s="5"/>
      <c r="U752" s="5"/>
      <c r="V752" s="5"/>
    </row>
    <row r="753" spans="14:22" x14ac:dyDescent="0.2">
      <c r="N753" s="5"/>
      <c r="O753" s="5"/>
      <c r="P753" s="5"/>
      <c r="Q753" s="5"/>
      <c r="R753" s="5"/>
      <c r="S753" s="5"/>
      <c r="T753" s="5"/>
      <c r="U753" s="5"/>
      <c r="V753" s="5"/>
    </row>
    <row r="754" spans="14:22" x14ac:dyDescent="0.2">
      <c r="N754" s="5"/>
      <c r="O754" s="5"/>
      <c r="P754" s="5"/>
      <c r="Q754" s="5"/>
      <c r="R754" s="5"/>
      <c r="S754" s="5"/>
      <c r="T754" s="5"/>
      <c r="U754" s="5"/>
      <c r="V754" s="5"/>
    </row>
    <row r="755" spans="14:22" x14ac:dyDescent="0.2">
      <c r="N755" s="5"/>
      <c r="O755" s="5"/>
      <c r="P755" s="5"/>
      <c r="Q755" s="5"/>
      <c r="R755" s="5"/>
      <c r="S755" s="5"/>
      <c r="T755" s="5"/>
      <c r="U755" s="5"/>
      <c r="V755" s="5"/>
    </row>
    <row r="756" spans="14:22" x14ac:dyDescent="0.2">
      <c r="N756" s="5"/>
      <c r="O756" s="5"/>
      <c r="P756" s="5"/>
      <c r="Q756" s="5"/>
      <c r="R756" s="5"/>
      <c r="S756" s="5"/>
      <c r="T756" s="5"/>
      <c r="U756" s="5"/>
      <c r="V756" s="5"/>
    </row>
    <row r="757" spans="14:22" x14ac:dyDescent="0.2">
      <c r="N757" s="5"/>
      <c r="O757" s="5"/>
      <c r="P757" s="5"/>
      <c r="Q757" s="5"/>
      <c r="R757" s="5"/>
      <c r="S757" s="5"/>
      <c r="T757" s="5"/>
      <c r="U757" s="5"/>
      <c r="V757" s="5"/>
    </row>
    <row r="758" spans="14:22" x14ac:dyDescent="0.2">
      <c r="N758" s="5"/>
      <c r="O758" s="5"/>
      <c r="P758" s="5"/>
      <c r="Q758" s="5"/>
      <c r="R758" s="5"/>
      <c r="S758" s="5"/>
      <c r="T758" s="5"/>
      <c r="U758" s="5"/>
      <c r="V758" s="5"/>
    </row>
    <row r="759" spans="14:22" x14ac:dyDescent="0.2">
      <c r="N759" s="5"/>
      <c r="O759" s="5"/>
      <c r="P759" s="5"/>
      <c r="Q759" s="5"/>
      <c r="R759" s="5"/>
      <c r="S759" s="5"/>
      <c r="T759" s="5"/>
      <c r="U759" s="5"/>
      <c r="V759" s="5"/>
    </row>
    <row r="760" spans="14:22" x14ac:dyDescent="0.2">
      <c r="N760" s="5"/>
      <c r="O760" s="5"/>
      <c r="P760" s="5"/>
      <c r="Q760" s="5"/>
      <c r="R760" s="5"/>
      <c r="S760" s="5"/>
      <c r="T760" s="5"/>
      <c r="U760" s="5"/>
      <c r="V760" s="5"/>
    </row>
    <row r="761" spans="14:22" x14ac:dyDescent="0.2">
      <c r="N761" s="5"/>
      <c r="O761" s="5"/>
      <c r="P761" s="5"/>
      <c r="Q761" s="5"/>
      <c r="R761" s="5"/>
      <c r="S761" s="5"/>
      <c r="T761" s="5"/>
      <c r="U761" s="5"/>
      <c r="V761" s="5"/>
    </row>
    <row r="762" spans="14:22" x14ac:dyDescent="0.2">
      <c r="N762" s="5"/>
      <c r="O762" s="5"/>
      <c r="P762" s="5"/>
      <c r="Q762" s="5"/>
      <c r="R762" s="5"/>
      <c r="S762" s="5"/>
      <c r="T762" s="5"/>
      <c r="U762" s="5"/>
      <c r="V762" s="5"/>
    </row>
    <row r="763" spans="14:22" x14ac:dyDescent="0.2">
      <c r="N763" s="5"/>
      <c r="O763" s="5"/>
      <c r="P763" s="5"/>
      <c r="Q763" s="5"/>
      <c r="R763" s="5"/>
      <c r="S763" s="5"/>
      <c r="T763" s="5"/>
      <c r="U763" s="5"/>
      <c r="V763" s="5"/>
    </row>
    <row r="764" spans="14:22" x14ac:dyDescent="0.2">
      <c r="N764" s="5"/>
      <c r="O764" s="5"/>
      <c r="P764" s="5"/>
      <c r="Q764" s="5"/>
      <c r="R764" s="5"/>
      <c r="S764" s="5"/>
      <c r="T764" s="5"/>
      <c r="U764" s="5"/>
      <c r="V764" s="5"/>
    </row>
    <row r="765" spans="14:22" x14ac:dyDescent="0.2">
      <c r="N765" s="5"/>
      <c r="O765" s="5"/>
      <c r="P765" s="5"/>
      <c r="Q765" s="5"/>
      <c r="R765" s="5"/>
      <c r="S765" s="5"/>
      <c r="T765" s="5"/>
      <c r="U765" s="5"/>
      <c r="V765" s="5"/>
    </row>
    <row r="766" spans="14:22" x14ac:dyDescent="0.2">
      <c r="N766" s="5"/>
      <c r="O766" s="5"/>
      <c r="P766" s="5"/>
      <c r="Q766" s="5"/>
      <c r="R766" s="5"/>
      <c r="S766" s="5"/>
      <c r="T766" s="5"/>
      <c r="U766" s="5"/>
      <c r="V766" s="5"/>
    </row>
    <row r="767" spans="14:22" x14ac:dyDescent="0.2">
      <c r="N767" s="5"/>
      <c r="O767" s="5"/>
      <c r="P767" s="5"/>
      <c r="Q767" s="5"/>
      <c r="R767" s="5"/>
      <c r="S767" s="5"/>
      <c r="T767" s="5"/>
      <c r="U767" s="5"/>
      <c r="V767" s="5"/>
    </row>
    <row r="768" spans="14:22" x14ac:dyDescent="0.2">
      <c r="N768" s="5"/>
      <c r="O768" s="5"/>
      <c r="P768" s="5"/>
      <c r="Q768" s="5"/>
      <c r="R768" s="5"/>
      <c r="S768" s="5"/>
      <c r="T768" s="5"/>
      <c r="U768" s="5"/>
      <c r="V768" s="5"/>
    </row>
    <row r="769" spans="14:22" x14ac:dyDescent="0.2">
      <c r="N769" s="5"/>
      <c r="O769" s="5"/>
      <c r="P769" s="5"/>
      <c r="Q769" s="5"/>
      <c r="R769" s="5"/>
      <c r="S769" s="5"/>
      <c r="T769" s="5"/>
      <c r="U769" s="5"/>
      <c r="V769" s="5"/>
    </row>
    <row r="770" spans="14:22" x14ac:dyDescent="0.2">
      <c r="N770" s="5"/>
      <c r="O770" s="5"/>
      <c r="P770" s="5"/>
      <c r="Q770" s="5"/>
      <c r="R770" s="5"/>
      <c r="S770" s="5"/>
      <c r="T770" s="5"/>
      <c r="U770" s="5"/>
      <c r="V770" s="5"/>
    </row>
    <row r="771" spans="14:22" x14ac:dyDescent="0.2">
      <c r="N771" s="5"/>
      <c r="O771" s="5"/>
      <c r="P771" s="5"/>
      <c r="Q771" s="5"/>
      <c r="R771" s="5"/>
      <c r="S771" s="5"/>
      <c r="T771" s="5"/>
      <c r="U771" s="5"/>
      <c r="V771" s="5"/>
    </row>
    <row r="772" spans="14:22" x14ac:dyDescent="0.2">
      <c r="N772" s="5"/>
      <c r="O772" s="5"/>
      <c r="P772" s="5"/>
      <c r="Q772" s="5"/>
      <c r="R772" s="5"/>
      <c r="S772" s="5"/>
      <c r="T772" s="5"/>
      <c r="U772" s="5"/>
      <c r="V772" s="5"/>
    </row>
    <row r="773" spans="14:22" x14ac:dyDescent="0.2">
      <c r="N773" s="5"/>
      <c r="O773" s="5"/>
      <c r="P773" s="5"/>
      <c r="Q773" s="5"/>
      <c r="R773" s="5"/>
      <c r="S773" s="5"/>
      <c r="T773" s="5"/>
      <c r="U773" s="5"/>
      <c r="V773" s="5"/>
    </row>
    <row r="774" spans="14:22" x14ac:dyDescent="0.2">
      <c r="N774" s="5"/>
      <c r="O774" s="5"/>
      <c r="P774" s="5"/>
      <c r="Q774" s="5"/>
      <c r="R774" s="5"/>
      <c r="S774" s="5"/>
      <c r="T774" s="5"/>
      <c r="U774" s="5"/>
      <c r="V774" s="5"/>
    </row>
    <row r="775" spans="14:22" x14ac:dyDescent="0.2">
      <c r="N775" s="5"/>
      <c r="O775" s="5"/>
      <c r="P775" s="5"/>
      <c r="Q775" s="5"/>
      <c r="R775" s="5"/>
      <c r="S775" s="5"/>
      <c r="T775" s="5"/>
      <c r="U775" s="5"/>
      <c r="V775" s="5"/>
    </row>
    <row r="776" spans="14:22" x14ac:dyDescent="0.2">
      <c r="N776" s="5"/>
      <c r="O776" s="5"/>
      <c r="P776" s="5"/>
      <c r="Q776" s="5"/>
      <c r="R776" s="5"/>
      <c r="S776" s="5"/>
      <c r="T776" s="5"/>
      <c r="U776" s="5"/>
      <c r="V776" s="5"/>
    </row>
    <row r="777" spans="14:22" x14ac:dyDescent="0.2">
      <c r="N777" s="5"/>
      <c r="O777" s="5"/>
      <c r="P777" s="5"/>
      <c r="Q777" s="5"/>
      <c r="R777" s="5"/>
      <c r="S777" s="5"/>
      <c r="T777" s="5"/>
      <c r="U777" s="5"/>
      <c r="V777" s="5"/>
    </row>
    <row r="778" spans="14:22" x14ac:dyDescent="0.2">
      <c r="N778" s="5"/>
      <c r="O778" s="5"/>
      <c r="P778" s="5"/>
      <c r="Q778" s="5"/>
      <c r="R778" s="5"/>
      <c r="S778" s="5"/>
      <c r="T778" s="5"/>
      <c r="U778" s="5"/>
      <c r="V778" s="5"/>
    </row>
    <row r="779" spans="14:22" x14ac:dyDescent="0.2">
      <c r="N779" s="5"/>
      <c r="O779" s="5"/>
      <c r="P779" s="5"/>
      <c r="Q779" s="5"/>
      <c r="R779" s="5"/>
      <c r="S779" s="5"/>
      <c r="T779" s="5"/>
      <c r="U779" s="5"/>
      <c r="V779" s="5"/>
    </row>
    <row r="780" spans="14:22" x14ac:dyDescent="0.2">
      <c r="N780" s="5"/>
      <c r="O780" s="5"/>
      <c r="P780" s="5"/>
      <c r="Q780" s="5"/>
      <c r="R780" s="5"/>
      <c r="S780" s="5"/>
      <c r="T780" s="5"/>
      <c r="U780" s="5"/>
      <c r="V780" s="5"/>
    </row>
    <row r="781" spans="14:22" x14ac:dyDescent="0.2">
      <c r="N781" s="5"/>
      <c r="O781" s="5"/>
      <c r="P781" s="5"/>
      <c r="Q781" s="5"/>
      <c r="R781" s="5"/>
      <c r="S781" s="5"/>
      <c r="T781" s="5"/>
      <c r="U781" s="5"/>
      <c r="V781" s="5"/>
    </row>
    <row r="782" spans="14:22" x14ac:dyDescent="0.2">
      <c r="N782" s="5"/>
      <c r="O782" s="5"/>
      <c r="P782" s="5"/>
      <c r="Q782" s="5"/>
      <c r="R782" s="5"/>
      <c r="S782" s="5"/>
      <c r="T782" s="5"/>
      <c r="U782" s="5"/>
      <c r="V782" s="5"/>
    </row>
    <row r="783" spans="14:22" x14ac:dyDescent="0.2">
      <c r="N783" s="5"/>
      <c r="O783" s="5"/>
      <c r="P783" s="5"/>
      <c r="Q783" s="5"/>
      <c r="R783" s="5"/>
      <c r="S783" s="5"/>
      <c r="T783" s="5"/>
      <c r="U783" s="5"/>
      <c r="V783" s="5"/>
    </row>
    <row r="784" spans="14:22" x14ac:dyDescent="0.2">
      <c r="N784" s="5"/>
      <c r="O784" s="5"/>
      <c r="P784" s="5"/>
      <c r="Q784" s="5"/>
      <c r="R784" s="5"/>
      <c r="S784" s="5"/>
      <c r="T784" s="5"/>
      <c r="U784" s="5"/>
      <c r="V784" s="5"/>
    </row>
    <row r="785" spans="14:22" x14ac:dyDescent="0.2">
      <c r="N785" s="5"/>
      <c r="O785" s="5"/>
      <c r="P785" s="5"/>
      <c r="Q785" s="5"/>
      <c r="R785" s="5"/>
      <c r="S785" s="5"/>
      <c r="T785" s="5"/>
      <c r="U785" s="5"/>
      <c r="V785" s="5"/>
    </row>
    <row r="786" spans="14:22" x14ac:dyDescent="0.2">
      <c r="N786" s="5"/>
      <c r="O786" s="5"/>
      <c r="P786" s="5"/>
      <c r="Q786" s="5"/>
      <c r="R786" s="5"/>
      <c r="S786" s="5"/>
      <c r="T786" s="5"/>
      <c r="U786" s="5"/>
      <c r="V786" s="5"/>
    </row>
    <row r="787" spans="14:22" x14ac:dyDescent="0.2">
      <c r="N787" s="5"/>
      <c r="O787" s="5"/>
      <c r="P787" s="5"/>
      <c r="Q787" s="5"/>
      <c r="R787" s="5"/>
      <c r="S787" s="5"/>
      <c r="T787" s="5"/>
      <c r="U787" s="5"/>
      <c r="V787" s="5"/>
    </row>
    <row r="788" spans="14:22" x14ac:dyDescent="0.2">
      <c r="N788" s="5"/>
      <c r="O788" s="5"/>
      <c r="P788" s="5"/>
      <c r="Q788" s="5"/>
      <c r="R788" s="5"/>
      <c r="S788" s="5"/>
      <c r="T788" s="5"/>
      <c r="U788" s="5"/>
      <c r="V788" s="5"/>
    </row>
    <row r="789" spans="14:22" x14ac:dyDescent="0.2">
      <c r="N789" s="5"/>
      <c r="O789" s="5"/>
      <c r="P789" s="5"/>
      <c r="Q789" s="5"/>
      <c r="R789" s="5"/>
      <c r="S789" s="5"/>
      <c r="T789" s="5"/>
      <c r="U789" s="5"/>
      <c r="V789" s="5"/>
    </row>
    <row r="790" spans="14:22" x14ac:dyDescent="0.2">
      <c r="N790" s="5"/>
      <c r="O790" s="5"/>
      <c r="P790" s="5"/>
      <c r="Q790" s="5"/>
      <c r="R790" s="5"/>
      <c r="S790" s="5"/>
      <c r="T790" s="5"/>
      <c r="U790" s="5"/>
      <c r="V790" s="5"/>
    </row>
    <row r="791" spans="14:22" x14ac:dyDescent="0.2">
      <c r="N791" s="5"/>
      <c r="O791" s="5"/>
      <c r="P791" s="5"/>
      <c r="Q791" s="5"/>
      <c r="R791" s="5"/>
      <c r="S791" s="5"/>
      <c r="T791" s="5"/>
      <c r="U791" s="5"/>
      <c r="V791" s="5"/>
    </row>
    <row r="792" spans="14:22" x14ac:dyDescent="0.2">
      <c r="N792" s="5"/>
      <c r="O792" s="5"/>
      <c r="P792" s="5"/>
      <c r="Q792" s="5"/>
      <c r="R792" s="5"/>
      <c r="S792" s="5"/>
      <c r="T792" s="5"/>
      <c r="U792" s="5"/>
      <c r="V792" s="5"/>
    </row>
    <row r="793" spans="14:22" x14ac:dyDescent="0.2">
      <c r="N793" s="5"/>
      <c r="O793" s="5"/>
      <c r="P793" s="5"/>
      <c r="Q793" s="5"/>
      <c r="R793" s="5"/>
      <c r="S793" s="5"/>
      <c r="T793" s="5"/>
      <c r="U793" s="5"/>
      <c r="V793" s="5"/>
    </row>
    <row r="794" spans="14:22" x14ac:dyDescent="0.2">
      <c r="N794" s="5"/>
      <c r="O794" s="5"/>
      <c r="P794" s="5"/>
      <c r="Q794" s="5"/>
      <c r="R794" s="5"/>
      <c r="S794" s="5"/>
      <c r="T794" s="5"/>
      <c r="U794" s="5"/>
      <c r="V794" s="5"/>
    </row>
    <row r="795" spans="14:22" x14ac:dyDescent="0.2">
      <c r="N795" s="5"/>
      <c r="O795" s="5"/>
      <c r="P795" s="5"/>
      <c r="Q795" s="5"/>
      <c r="R795" s="5"/>
      <c r="S795" s="5"/>
      <c r="T795" s="5"/>
      <c r="U795" s="5"/>
      <c r="V795" s="5"/>
    </row>
    <row r="796" spans="14:22" x14ac:dyDescent="0.2">
      <c r="N796" s="5"/>
      <c r="O796" s="5"/>
      <c r="P796" s="5"/>
      <c r="Q796" s="5"/>
      <c r="R796" s="5"/>
      <c r="S796" s="5"/>
      <c r="T796" s="5"/>
      <c r="U796" s="5"/>
      <c r="V796" s="5"/>
    </row>
    <row r="797" spans="14:22" x14ac:dyDescent="0.2">
      <c r="N797" s="5"/>
      <c r="O797" s="5"/>
      <c r="P797" s="5"/>
      <c r="Q797" s="5"/>
      <c r="R797" s="5"/>
      <c r="S797" s="5"/>
      <c r="T797" s="5"/>
      <c r="U797" s="5"/>
      <c r="V797" s="5"/>
    </row>
    <row r="798" spans="14:22" x14ac:dyDescent="0.2">
      <c r="N798" s="5"/>
      <c r="O798" s="5"/>
      <c r="P798" s="5"/>
      <c r="Q798" s="5"/>
      <c r="R798" s="5"/>
      <c r="S798" s="5"/>
      <c r="T798" s="5"/>
      <c r="U798" s="5"/>
      <c r="V798" s="5"/>
    </row>
    <row r="799" spans="14:22" x14ac:dyDescent="0.2">
      <c r="N799" s="5"/>
      <c r="O799" s="5"/>
      <c r="P799" s="5"/>
      <c r="Q799" s="5"/>
      <c r="R799" s="5"/>
      <c r="S799" s="5"/>
      <c r="T799" s="5"/>
      <c r="U799" s="5"/>
      <c r="V799" s="5"/>
    </row>
    <row r="800" spans="14:22" x14ac:dyDescent="0.2">
      <c r="N800" s="5"/>
      <c r="O800" s="5"/>
      <c r="P800" s="5"/>
      <c r="Q800" s="5"/>
      <c r="R800" s="5"/>
      <c r="S800" s="5"/>
      <c r="T800" s="5"/>
      <c r="U800" s="5"/>
      <c r="V800" s="5"/>
    </row>
    <row r="801" spans="14:22" x14ac:dyDescent="0.2">
      <c r="N801" s="5"/>
      <c r="O801" s="5"/>
      <c r="P801" s="5"/>
      <c r="Q801" s="5"/>
      <c r="R801" s="5"/>
      <c r="S801" s="5"/>
      <c r="T801" s="5"/>
      <c r="U801" s="5"/>
      <c r="V801" s="5"/>
    </row>
    <row r="802" spans="14:22" x14ac:dyDescent="0.2">
      <c r="N802" s="5"/>
      <c r="O802" s="5"/>
      <c r="P802" s="5"/>
      <c r="Q802" s="5"/>
      <c r="R802" s="5"/>
      <c r="S802" s="5"/>
      <c r="T802" s="5"/>
      <c r="U802" s="5"/>
      <c r="V802" s="5"/>
    </row>
    <row r="803" spans="14:22" x14ac:dyDescent="0.2">
      <c r="N803" s="5"/>
      <c r="O803" s="5"/>
      <c r="P803" s="5"/>
      <c r="Q803" s="5"/>
      <c r="R803" s="5"/>
      <c r="S803" s="5"/>
      <c r="T803" s="5"/>
      <c r="U803" s="5"/>
      <c r="V803" s="5"/>
    </row>
    <row r="804" spans="14:22" x14ac:dyDescent="0.2">
      <c r="N804" s="5"/>
      <c r="O804" s="5"/>
      <c r="P804" s="5"/>
      <c r="Q804" s="5"/>
      <c r="R804" s="5"/>
      <c r="S804" s="5"/>
      <c r="T804" s="5"/>
      <c r="U804" s="5"/>
      <c r="V804" s="5"/>
    </row>
    <row r="805" spans="14:22" x14ac:dyDescent="0.2">
      <c r="N805" s="5"/>
      <c r="O805" s="5"/>
      <c r="P805" s="5"/>
      <c r="Q805" s="5"/>
      <c r="R805" s="5"/>
      <c r="S805" s="5"/>
      <c r="T805" s="5"/>
      <c r="U805" s="5"/>
      <c r="V805" s="5"/>
    </row>
    <row r="806" spans="14:22" x14ac:dyDescent="0.2">
      <c r="N806" s="5"/>
      <c r="O806" s="5"/>
      <c r="P806" s="5"/>
      <c r="Q806" s="5"/>
      <c r="R806" s="5"/>
      <c r="S806" s="5"/>
      <c r="T806" s="5"/>
      <c r="U806" s="5"/>
      <c r="V806" s="5"/>
    </row>
    <row r="807" spans="14:22" x14ac:dyDescent="0.2">
      <c r="N807" s="5"/>
      <c r="O807" s="5"/>
      <c r="P807" s="5"/>
      <c r="Q807" s="5"/>
      <c r="R807" s="5"/>
      <c r="S807" s="5"/>
      <c r="T807" s="5"/>
      <c r="U807" s="5"/>
      <c r="V807" s="5"/>
    </row>
    <row r="808" spans="14:22" x14ac:dyDescent="0.2">
      <c r="N808" s="5"/>
      <c r="O808" s="5"/>
      <c r="P808" s="5"/>
      <c r="Q808" s="5"/>
      <c r="R808" s="5"/>
      <c r="S808" s="5"/>
      <c r="T808" s="5"/>
      <c r="U808" s="5"/>
      <c r="V808" s="5"/>
    </row>
    <row r="809" spans="14:22" x14ac:dyDescent="0.2">
      <c r="N809" s="5"/>
      <c r="O809" s="5"/>
      <c r="P809" s="5"/>
      <c r="Q809" s="5"/>
      <c r="R809" s="5"/>
      <c r="S809" s="5"/>
      <c r="T809" s="5"/>
      <c r="U809" s="5"/>
      <c r="V809" s="5"/>
    </row>
    <row r="810" spans="14:22" x14ac:dyDescent="0.2">
      <c r="N810" s="5"/>
      <c r="O810" s="5"/>
      <c r="P810" s="5"/>
      <c r="Q810" s="5"/>
      <c r="R810" s="5"/>
      <c r="S810" s="5"/>
      <c r="T810" s="5"/>
      <c r="U810" s="5"/>
      <c r="V810" s="5"/>
    </row>
    <row r="811" spans="14:22" x14ac:dyDescent="0.2">
      <c r="N811" s="5"/>
      <c r="O811" s="5"/>
      <c r="P811" s="5"/>
      <c r="Q811" s="5"/>
      <c r="R811" s="5"/>
      <c r="S811" s="5"/>
      <c r="T811" s="5"/>
      <c r="U811" s="5"/>
      <c r="V811" s="5"/>
    </row>
    <row r="812" spans="14:22" x14ac:dyDescent="0.2">
      <c r="N812" s="5"/>
      <c r="O812" s="5"/>
      <c r="P812" s="5"/>
      <c r="Q812" s="5"/>
      <c r="R812" s="5"/>
      <c r="S812" s="5"/>
      <c r="T812" s="5"/>
      <c r="U812" s="5"/>
      <c r="V812" s="5"/>
    </row>
    <row r="813" spans="14:22" x14ac:dyDescent="0.2">
      <c r="N813" s="5"/>
      <c r="O813" s="5"/>
      <c r="P813" s="5"/>
      <c r="Q813" s="5"/>
      <c r="R813" s="5"/>
      <c r="S813" s="5"/>
      <c r="T813" s="5"/>
      <c r="U813" s="5"/>
      <c r="V813" s="5"/>
    </row>
    <row r="814" spans="14:22" x14ac:dyDescent="0.2">
      <c r="N814" s="5"/>
      <c r="O814" s="5"/>
      <c r="P814" s="5"/>
      <c r="Q814" s="5"/>
      <c r="R814" s="5"/>
      <c r="S814" s="5"/>
      <c r="T814" s="5"/>
      <c r="U814" s="5"/>
      <c r="V814" s="5"/>
    </row>
    <row r="815" spans="14:22" x14ac:dyDescent="0.2">
      <c r="N815" s="5"/>
      <c r="O815" s="5"/>
      <c r="P815" s="5"/>
      <c r="Q815" s="5"/>
      <c r="R815" s="5"/>
      <c r="S815" s="5"/>
      <c r="T815" s="5"/>
      <c r="U815" s="5"/>
      <c r="V815" s="5"/>
    </row>
    <row r="816" spans="14:22" x14ac:dyDescent="0.2">
      <c r="N816" s="5"/>
      <c r="O816" s="5"/>
      <c r="P816" s="5"/>
      <c r="Q816" s="5"/>
      <c r="R816" s="5"/>
      <c r="S816" s="5"/>
      <c r="T816" s="5"/>
      <c r="U816" s="5"/>
      <c r="V816" s="5"/>
    </row>
    <row r="817" spans="14:22" x14ac:dyDescent="0.2">
      <c r="N817" s="5"/>
      <c r="O817" s="5"/>
      <c r="P817" s="5"/>
      <c r="Q817" s="5"/>
      <c r="R817" s="5"/>
      <c r="S817" s="5"/>
      <c r="T817" s="5"/>
      <c r="U817" s="5"/>
      <c r="V817" s="5"/>
    </row>
    <row r="818" spans="14:22" x14ac:dyDescent="0.2">
      <c r="N818" s="5"/>
      <c r="O818" s="5"/>
      <c r="P818" s="5"/>
      <c r="Q818" s="5"/>
      <c r="R818" s="5"/>
      <c r="S818" s="5"/>
      <c r="T818" s="5"/>
      <c r="U818" s="5"/>
      <c r="V818" s="5"/>
    </row>
    <row r="819" spans="14:22" x14ac:dyDescent="0.2">
      <c r="N819" s="5"/>
      <c r="O819" s="5"/>
      <c r="P819" s="5"/>
      <c r="Q819" s="5"/>
      <c r="R819" s="5"/>
      <c r="S819" s="5"/>
      <c r="T819" s="5"/>
      <c r="U819" s="5"/>
      <c r="V819" s="5"/>
    </row>
    <row r="820" spans="14:22" x14ac:dyDescent="0.2">
      <c r="N820" s="5"/>
      <c r="O820" s="5"/>
      <c r="P820" s="5"/>
      <c r="Q820" s="5"/>
      <c r="R820" s="5"/>
      <c r="S820" s="5"/>
      <c r="T820" s="5"/>
      <c r="U820" s="5"/>
      <c r="V820" s="5"/>
    </row>
    <row r="821" spans="14:22" x14ac:dyDescent="0.2">
      <c r="N821" s="5"/>
      <c r="O821" s="5"/>
      <c r="P821" s="5"/>
      <c r="Q821" s="5"/>
      <c r="R821" s="5"/>
      <c r="S821" s="5"/>
      <c r="T821" s="5"/>
      <c r="U821" s="5"/>
      <c r="V821" s="5"/>
    </row>
    <row r="822" spans="14:22" x14ac:dyDescent="0.2">
      <c r="N822" s="5"/>
      <c r="O822" s="5"/>
      <c r="P822" s="5"/>
      <c r="Q822" s="5"/>
      <c r="R822" s="5"/>
      <c r="S822" s="5"/>
      <c r="T822" s="5"/>
      <c r="U822" s="5"/>
      <c r="V822" s="5"/>
    </row>
    <row r="823" spans="14:22" x14ac:dyDescent="0.2">
      <c r="N823" s="5"/>
      <c r="O823" s="5"/>
      <c r="P823" s="5"/>
      <c r="Q823" s="5"/>
      <c r="R823" s="5"/>
      <c r="S823" s="5"/>
      <c r="T823" s="5"/>
      <c r="U823" s="5"/>
      <c r="V823" s="5"/>
    </row>
    <row r="824" spans="14:22" x14ac:dyDescent="0.2">
      <c r="N824" s="5"/>
      <c r="O824" s="5"/>
      <c r="P824" s="5"/>
      <c r="Q824" s="5"/>
      <c r="R824" s="5"/>
      <c r="S824" s="5"/>
      <c r="T824" s="5"/>
      <c r="U824" s="5"/>
      <c r="V824" s="5"/>
    </row>
    <row r="825" spans="14:22" x14ac:dyDescent="0.2">
      <c r="N825" s="5"/>
      <c r="O825" s="5"/>
      <c r="P825" s="5"/>
      <c r="Q825" s="5"/>
      <c r="R825" s="5"/>
      <c r="S825" s="5"/>
      <c r="T825" s="5"/>
      <c r="U825" s="5"/>
      <c r="V825" s="5"/>
    </row>
    <row r="826" spans="14:22" x14ac:dyDescent="0.2">
      <c r="N826" s="5"/>
      <c r="O826" s="5"/>
      <c r="P826" s="5"/>
      <c r="Q826" s="5"/>
      <c r="R826" s="5"/>
      <c r="S826" s="5"/>
      <c r="T826" s="5"/>
      <c r="U826" s="5"/>
      <c r="V826" s="5"/>
    </row>
    <row r="827" spans="14:22" x14ac:dyDescent="0.2">
      <c r="N827" s="5"/>
      <c r="O827" s="5"/>
      <c r="P827" s="5"/>
      <c r="Q827" s="5"/>
      <c r="R827" s="5"/>
      <c r="S827" s="5"/>
      <c r="T827" s="5"/>
      <c r="U827" s="5"/>
      <c r="V827" s="5"/>
    </row>
    <row r="828" spans="14:22" x14ac:dyDescent="0.2">
      <c r="N828" s="5"/>
      <c r="O828" s="5"/>
      <c r="P828" s="5"/>
      <c r="Q828" s="5"/>
      <c r="R828" s="5"/>
      <c r="S828" s="5"/>
      <c r="T828" s="5"/>
      <c r="U828" s="5"/>
      <c r="V828" s="5"/>
    </row>
    <row r="829" spans="14:22" x14ac:dyDescent="0.2">
      <c r="N829" s="5"/>
      <c r="O829" s="5"/>
      <c r="P829" s="5"/>
      <c r="Q829" s="5"/>
      <c r="R829" s="5"/>
      <c r="S829" s="5"/>
      <c r="T829" s="5"/>
      <c r="U829" s="5"/>
      <c r="V829" s="5"/>
    </row>
    <row r="830" spans="14:22" x14ac:dyDescent="0.2">
      <c r="N830" s="5"/>
      <c r="O830" s="5"/>
      <c r="P830" s="5"/>
      <c r="Q830" s="5"/>
      <c r="R830" s="5"/>
      <c r="S830" s="5"/>
      <c r="T830" s="5"/>
      <c r="U830" s="5"/>
      <c r="V830" s="5"/>
    </row>
    <row r="831" spans="14:22" x14ac:dyDescent="0.2">
      <c r="N831" s="5"/>
      <c r="O831" s="5"/>
      <c r="P831" s="5"/>
      <c r="Q831" s="5"/>
      <c r="R831" s="5"/>
      <c r="S831" s="5"/>
      <c r="T831" s="5"/>
      <c r="U831" s="5"/>
      <c r="V831" s="5"/>
    </row>
    <row r="832" spans="14:22" x14ac:dyDescent="0.2">
      <c r="N832" s="5"/>
      <c r="O832" s="5"/>
      <c r="P832" s="5"/>
      <c r="Q832" s="5"/>
      <c r="R832" s="5"/>
      <c r="S832" s="5"/>
      <c r="T832" s="5"/>
      <c r="U832" s="5"/>
      <c r="V832" s="5"/>
    </row>
    <row r="833" spans="14:22" x14ac:dyDescent="0.2">
      <c r="N833" s="5"/>
      <c r="O833" s="5"/>
      <c r="P833" s="5"/>
      <c r="Q833" s="5"/>
      <c r="R833" s="5"/>
      <c r="S833" s="5"/>
      <c r="T833" s="5"/>
      <c r="U833" s="5"/>
      <c r="V833" s="5"/>
    </row>
    <row r="834" spans="14:22" x14ac:dyDescent="0.2">
      <c r="N834" s="5"/>
      <c r="O834" s="5"/>
      <c r="P834" s="5"/>
      <c r="Q834" s="5"/>
      <c r="R834" s="5"/>
      <c r="S834" s="5"/>
      <c r="T834" s="5"/>
      <c r="U834" s="5"/>
      <c r="V834" s="5"/>
    </row>
    <row r="835" spans="14:22" x14ac:dyDescent="0.2">
      <c r="N835" s="5"/>
      <c r="O835" s="5"/>
      <c r="P835" s="5"/>
      <c r="Q835" s="5"/>
      <c r="R835" s="5"/>
      <c r="S835" s="5"/>
      <c r="T835" s="5"/>
      <c r="U835" s="5"/>
      <c r="V835" s="5"/>
    </row>
    <row r="836" spans="14:22" x14ac:dyDescent="0.2">
      <c r="N836" s="5"/>
      <c r="O836" s="5"/>
      <c r="P836" s="5"/>
      <c r="Q836" s="5"/>
      <c r="R836" s="5"/>
      <c r="S836" s="5"/>
      <c r="T836" s="5"/>
      <c r="U836" s="5"/>
      <c r="V836" s="5"/>
    </row>
    <row r="837" spans="14:22" x14ac:dyDescent="0.2">
      <c r="N837" s="5"/>
      <c r="O837" s="5"/>
      <c r="P837" s="5"/>
      <c r="Q837" s="5"/>
      <c r="R837" s="5"/>
      <c r="S837" s="5"/>
      <c r="T837" s="5"/>
      <c r="U837" s="5"/>
      <c r="V837" s="5"/>
    </row>
    <row r="838" spans="14:22" x14ac:dyDescent="0.2">
      <c r="N838" s="5"/>
      <c r="O838" s="5"/>
      <c r="P838" s="5"/>
      <c r="Q838" s="5"/>
      <c r="R838" s="5"/>
      <c r="S838" s="5"/>
      <c r="T838" s="5"/>
      <c r="U838" s="5"/>
      <c r="V838" s="5"/>
    </row>
    <row r="839" spans="14:22" x14ac:dyDescent="0.2">
      <c r="N839" s="5"/>
      <c r="O839" s="5"/>
      <c r="P839" s="5"/>
      <c r="Q839" s="5"/>
      <c r="R839" s="5"/>
      <c r="S839" s="5"/>
      <c r="T839" s="5"/>
      <c r="U839" s="5"/>
      <c r="V839" s="5"/>
    </row>
    <row r="840" spans="14:22" x14ac:dyDescent="0.2">
      <c r="N840" s="5"/>
      <c r="O840" s="5"/>
      <c r="P840" s="5"/>
      <c r="Q840" s="5"/>
      <c r="R840" s="5"/>
      <c r="S840" s="5"/>
      <c r="T840" s="5"/>
      <c r="U840" s="5"/>
      <c r="V840" s="5"/>
    </row>
    <row r="841" spans="14:22" x14ac:dyDescent="0.2">
      <c r="N841" s="5"/>
      <c r="O841" s="5"/>
      <c r="P841" s="5"/>
      <c r="Q841" s="5"/>
      <c r="R841" s="5"/>
      <c r="S841" s="5"/>
      <c r="T841" s="5"/>
      <c r="U841" s="5"/>
      <c r="V841" s="5"/>
    </row>
    <row r="842" spans="14:22" x14ac:dyDescent="0.2">
      <c r="N842" s="5"/>
      <c r="O842" s="5"/>
      <c r="P842" s="5"/>
      <c r="Q842" s="5"/>
      <c r="R842" s="5"/>
      <c r="S842" s="5"/>
      <c r="T842" s="5"/>
      <c r="U842" s="5"/>
      <c r="V842" s="5"/>
    </row>
    <row r="843" spans="14:22" x14ac:dyDescent="0.2">
      <c r="N843" s="5"/>
      <c r="O843" s="5"/>
      <c r="P843" s="5"/>
      <c r="Q843" s="5"/>
      <c r="R843" s="5"/>
      <c r="S843" s="5"/>
      <c r="T843" s="5"/>
      <c r="U843" s="5"/>
      <c r="V843" s="5"/>
    </row>
    <row r="844" spans="14:22" x14ac:dyDescent="0.2">
      <c r="N844" s="5"/>
      <c r="O844" s="5"/>
      <c r="P844" s="5"/>
      <c r="Q844" s="5"/>
      <c r="R844" s="5"/>
      <c r="S844" s="5"/>
      <c r="T844" s="5"/>
      <c r="U844" s="5"/>
      <c r="V844" s="5"/>
    </row>
    <row r="845" spans="14:22" x14ac:dyDescent="0.2">
      <c r="N845" s="5"/>
      <c r="O845" s="5"/>
      <c r="P845" s="5"/>
      <c r="Q845" s="5"/>
      <c r="R845" s="5"/>
      <c r="S845" s="5"/>
      <c r="T845" s="5"/>
      <c r="U845" s="5"/>
      <c r="V845" s="5"/>
    </row>
    <row r="846" spans="14:22" x14ac:dyDescent="0.2">
      <c r="N846" s="5"/>
      <c r="O846" s="5"/>
      <c r="P846" s="5"/>
      <c r="Q846" s="5"/>
      <c r="R846" s="5"/>
      <c r="S846" s="5"/>
      <c r="T846" s="5"/>
      <c r="U846" s="5"/>
      <c r="V846" s="5"/>
    </row>
    <row r="847" spans="14:22" x14ac:dyDescent="0.2">
      <c r="N847" s="5"/>
      <c r="O847" s="5"/>
      <c r="P847" s="5"/>
      <c r="Q847" s="5"/>
      <c r="R847" s="5"/>
      <c r="S847" s="5"/>
      <c r="T847" s="5"/>
      <c r="U847" s="5"/>
      <c r="V847" s="5"/>
    </row>
    <row r="848" spans="14:22" x14ac:dyDescent="0.2">
      <c r="N848" s="5"/>
      <c r="O848" s="5"/>
      <c r="P848" s="5"/>
      <c r="Q848" s="5"/>
      <c r="R848" s="5"/>
      <c r="S848" s="5"/>
      <c r="T848" s="5"/>
      <c r="U848" s="5"/>
      <c r="V848" s="5"/>
    </row>
    <row r="849" spans="14:22" x14ac:dyDescent="0.2">
      <c r="N849" s="5"/>
      <c r="O849" s="5"/>
      <c r="P849" s="5"/>
      <c r="Q849" s="5"/>
      <c r="R849" s="5"/>
      <c r="S849" s="5"/>
      <c r="T849" s="5"/>
      <c r="U849" s="5"/>
      <c r="V849" s="5"/>
    </row>
    <row r="850" spans="14:22" x14ac:dyDescent="0.2">
      <c r="N850" s="5"/>
      <c r="O850" s="5"/>
      <c r="P850" s="5"/>
      <c r="Q850" s="5"/>
      <c r="R850" s="5"/>
      <c r="S850" s="5"/>
      <c r="T850" s="5"/>
      <c r="U850" s="5"/>
      <c r="V850" s="5"/>
    </row>
    <row r="851" spans="14:22" x14ac:dyDescent="0.2">
      <c r="N851" s="5"/>
      <c r="O851" s="5"/>
      <c r="P851" s="5"/>
      <c r="Q851" s="5"/>
      <c r="R851" s="5"/>
      <c r="S851" s="5"/>
      <c r="T851" s="5"/>
      <c r="U851" s="5"/>
      <c r="V851" s="5"/>
    </row>
    <row r="852" spans="14:22" x14ac:dyDescent="0.2">
      <c r="N852" s="5"/>
      <c r="O852" s="5"/>
      <c r="P852" s="5"/>
      <c r="Q852" s="5"/>
      <c r="R852" s="5"/>
      <c r="S852" s="5"/>
      <c r="T852" s="5"/>
      <c r="U852" s="5"/>
      <c r="V852" s="5"/>
    </row>
    <row r="853" spans="14:22" x14ac:dyDescent="0.2">
      <c r="N853" s="5"/>
      <c r="O853" s="5"/>
      <c r="P853" s="5"/>
      <c r="Q853" s="5"/>
      <c r="R853" s="5"/>
      <c r="S853" s="5"/>
      <c r="T853" s="5"/>
      <c r="U853" s="5"/>
      <c r="V853" s="5"/>
    </row>
    <row r="854" spans="14:22" x14ac:dyDescent="0.2">
      <c r="N854" s="5"/>
      <c r="O854" s="5"/>
      <c r="P854" s="5"/>
      <c r="Q854" s="5"/>
      <c r="R854" s="5"/>
      <c r="S854" s="5"/>
      <c r="T854" s="5"/>
      <c r="U854" s="5"/>
      <c r="V854" s="5"/>
    </row>
    <row r="855" spans="14:22" x14ac:dyDescent="0.2">
      <c r="N855" s="5"/>
      <c r="O855" s="5"/>
      <c r="P855" s="5"/>
      <c r="Q855" s="5"/>
      <c r="R855" s="5"/>
      <c r="S855" s="5"/>
      <c r="T855" s="5"/>
      <c r="U855" s="5"/>
      <c r="V855" s="5"/>
    </row>
    <row r="856" spans="14:22" x14ac:dyDescent="0.2">
      <c r="N856" s="5"/>
      <c r="O856" s="5"/>
      <c r="P856" s="5"/>
      <c r="Q856" s="5"/>
      <c r="R856" s="5"/>
      <c r="S856" s="5"/>
      <c r="T856" s="5"/>
      <c r="U856" s="5"/>
      <c r="V856" s="5"/>
    </row>
    <row r="857" spans="14:22" x14ac:dyDescent="0.2">
      <c r="N857" s="5"/>
      <c r="O857" s="5"/>
      <c r="P857" s="5"/>
      <c r="Q857" s="5"/>
      <c r="R857" s="5"/>
      <c r="S857" s="5"/>
      <c r="T857" s="5"/>
      <c r="U857" s="5"/>
      <c r="V857" s="5"/>
    </row>
    <row r="858" spans="14:22" x14ac:dyDescent="0.2">
      <c r="N858" s="5"/>
      <c r="O858" s="5"/>
      <c r="P858" s="5"/>
      <c r="Q858" s="5"/>
      <c r="R858" s="5"/>
      <c r="S858" s="5"/>
      <c r="T858" s="5"/>
      <c r="U858" s="5"/>
      <c r="V858" s="5"/>
    </row>
    <row r="859" spans="14:22" x14ac:dyDescent="0.2">
      <c r="N859" s="5"/>
      <c r="O859" s="5"/>
      <c r="P859" s="5"/>
      <c r="Q859" s="5"/>
      <c r="R859" s="5"/>
      <c r="S859" s="5"/>
      <c r="T859" s="5"/>
      <c r="U859" s="5"/>
      <c r="V859" s="5"/>
    </row>
    <row r="860" spans="14:22" x14ac:dyDescent="0.2">
      <c r="N860" s="5"/>
      <c r="O860" s="5"/>
      <c r="P860" s="5"/>
      <c r="Q860" s="5"/>
      <c r="R860" s="5"/>
      <c r="S860" s="5"/>
      <c r="T860" s="5"/>
      <c r="U860" s="5"/>
      <c r="V860" s="5"/>
    </row>
    <row r="861" spans="14:22" x14ac:dyDescent="0.2">
      <c r="N861" s="5"/>
      <c r="O861" s="5"/>
      <c r="P861" s="5"/>
      <c r="Q861" s="5"/>
      <c r="R861" s="5"/>
      <c r="S861" s="5"/>
      <c r="T861" s="5"/>
      <c r="U861" s="5"/>
      <c r="V861" s="5"/>
    </row>
    <row r="862" spans="14:22" x14ac:dyDescent="0.2">
      <c r="N862" s="5"/>
      <c r="O862" s="5"/>
      <c r="P862" s="5"/>
      <c r="Q862" s="5"/>
      <c r="R862" s="5"/>
      <c r="S862" s="5"/>
      <c r="T862" s="5"/>
      <c r="U862" s="5"/>
      <c r="V862" s="5"/>
    </row>
    <row r="863" spans="14:22" x14ac:dyDescent="0.2">
      <c r="N863" s="5"/>
      <c r="O863" s="5"/>
      <c r="P863" s="5"/>
      <c r="Q863" s="5"/>
      <c r="R863" s="5"/>
      <c r="S863" s="5"/>
      <c r="T863" s="5"/>
      <c r="U863" s="5"/>
      <c r="V863" s="5"/>
    </row>
    <row r="864" spans="14:22" x14ac:dyDescent="0.2">
      <c r="N864" s="5"/>
      <c r="O864" s="5"/>
      <c r="P864" s="5"/>
      <c r="Q864" s="5"/>
      <c r="R864" s="5"/>
      <c r="S864" s="5"/>
      <c r="T864" s="5"/>
      <c r="U864" s="5"/>
      <c r="V864" s="5"/>
    </row>
    <row r="865" spans="14:22" x14ac:dyDescent="0.2">
      <c r="N865" s="5"/>
      <c r="O865" s="5"/>
      <c r="P865" s="5"/>
      <c r="Q865" s="5"/>
      <c r="R865" s="5"/>
      <c r="S865" s="5"/>
      <c r="T865" s="5"/>
      <c r="U865" s="5"/>
      <c r="V865" s="5"/>
    </row>
    <row r="866" spans="14:22" x14ac:dyDescent="0.2">
      <c r="N866" s="5"/>
      <c r="O866" s="5"/>
      <c r="P866" s="5"/>
      <c r="Q866" s="5"/>
      <c r="R866" s="5"/>
      <c r="S866" s="5"/>
      <c r="T866" s="5"/>
      <c r="U866" s="5"/>
      <c r="V866" s="5"/>
    </row>
    <row r="867" spans="14:22" x14ac:dyDescent="0.2">
      <c r="N867" s="5"/>
      <c r="O867" s="5"/>
      <c r="P867" s="5"/>
      <c r="Q867" s="5"/>
      <c r="R867" s="5"/>
      <c r="S867" s="5"/>
      <c r="T867" s="5"/>
      <c r="U867" s="5"/>
      <c r="V867" s="5"/>
    </row>
    <row r="868" spans="14:22" x14ac:dyDescent="0.2">
      <c r="N868" s="5"/>
      <c r="O868" s="5"/>
      <c r="P868" s="5"/>
      <c r="Q868" s="5"/>
      <c r="R868" s="5"/>
      <c r="S868" s="5"/>
      <c r="T868" s="5"/>
      <c r="U868" s="5"/>
      <c r="V868" s="5"/>
    </row>
    <row r="869" spans="14:22" x14ac:dyDescent="0.2">
      <c r="N869" s="5"/>
      <c r="O869" s="5"/>
      <c r="P869" s="5"/>
      <c r="Q869" s="5"/>
      <c r="R869" s="5"/>
      <c r="S869" s="5"/>
      <c r="T869" s="5"/>
      <c r="U869" s="5"/>
      <c r="V869" s="5"/>
    </row>
    <row r="870" spans="14:22" x14ac:dyDescent="0.2">
      <c r="N870" s="5"/>
      <c r="O870" s="5"/>
      <c r="P870" s="5"/>
      <c r="Q870" s="5"/>
      <c r="R870" s="5"/>
      <c r="S870" s="5"/>
      <c r="T870" s="5"/>
      <c r="U870" s="5"/>
      <c r="V870" s="5"/>
    </row>
    <row r="871" spans="14:22" x14ac:dyDescent="0.2">
      <c r="N871" s="5"/>
      <c r="O871" s="5"/>
      <c r="P871" s="5"/>
      <c r="Q871" s="5"/>
      <c r="R871" s="5"/>
      <c r="S871" s="5"/>
      <c r="T871" s="5"/>
      <c r="U871" s="5"/>
      <c r="V871" s="5"/>
    </row>
    <row r="872" spans="14:22" x14ac:dyDescent="0.2">
      <c r="N872" s="5"/>
      <c r="O872" s="5"/>
      <c r="P872" s="5"/>
      <c r="Q872" s="5"/>
      <c r="R872" s="5"/>
      <c r="S872" s="5"/>
      <c r="T872" s="5"/>
      <c r="U872" s="5"/>
      <c r="V872" s="5"/>
    </row>
    <row r="873" spans="14:22" x14ac:dyDescent="0.2">
      <c r="N873" s="5"/>
      <c r="O873" s="5"/>
      <c r="P873" s="5"/>
      <c r="Q873" s="5"/>
      <c r="R873" s="5"/>
      <c r="S873" s="5"/>
      <c r="T873" s="5"/>
      <c r="U873" s="5"/>
      <c r="V873" s="5"/>
    </row>
    <row r="874" spans="14:22" x14ac:dyDescent="0.2">
      <c r="N874" s="5"/>
      <c r="O874" s="5"/>
      <c r="P874" s="5"/>
      <c r="Q874" s="5"/>
      <c r="R874" s="5"/>
      <c r="S874" s="5"/>
      <c r="T874" s="5"/>
      <c r="U874" s="5"/>
      <c r="V874" s="5"/>
    </row>
    <row r="875" spans="14:22" x14ac:dyDescent="0.2">
      <c r="N875" s="5"/>
      <c r="O875" s="5"/>
      <c r="P875" s="5"/>
      <c r="Q875" s="5"/>
      <c r="R875" s="5"/>
      <c r="S875" s="5"/>
      <c r="T875" s="5"/>
      <c r="U875" s="5"/>
      <c r="V875" s="5"/>
    </row>
    <row r="876" spans="14:22" x14ac:dyDescent="0.2">
      <c r="N876" s="5"/>
      <c r="O876" s="5"/>
      <c r="P876" s="5"/>
      <c r="Q876" s="5"/>
      <c r="R876" s="5"/>
      <c r="S876" s="5"/>
      <c r="T876" s="5"/>
      <c r="U876" s="5"/>
      <c r="V876" s="5"/>
    </row>
    <row r="877" spans="14:22" x14ac:dyDescent="0.2">
      <c r="N877" s="5"/>
      <c r="O877" s="5"/>
      <c r="P877" s="5"/>
      <c r="Q877" s="5"/>
      <c r="R877" s="5"/>
      <c r="S877" s="5"/>
      <c r="T877" s="5"/>
      <c r="U877" s="5"/>
      <c r="V877" s="5"/>
    </row>
    <row r="878" spans="14:22" x14ac:dyDescent="0.2">
      <c r="N878" s="5"/>
      <c r="O878" s="5"/>
      <c r="P878" s="5"/>
      <c r="Q878" s="5"/>
      <c r="R878" s="5"/>
      <c r="S878" s="5"/>
      <c r="T878" s="5"/>
      <c r="U878" s="5"/>
      <c r="V878" s="5"/>
    </row>
    <row r="879" spans="14:22" x14ac:dyDescent="0.2">
      <c r="N879" s="5"/>
      <c r="O879" s="5"/>
      <c r="P879" s="5"/>
      <c r="Q879" s="5"/>
      <c r="R879" s="5"/>
      <c r="S879" s="5"/>
      <c r="T879" s="5"/>
      <c r="U879" s="5"/>
      <c r="V879" s="5"/>
    </row>
    <row r="880" spans="14:22" x14ac:dyDescent="0.2">
      <c r="N880" s="5"/>
      <c r="O880" s="5"/>
      <c r="P880" s="5"/>
      <c r="Q880" s="5"/>
      <c r="R880" s="5"/>
      <c r="S880" s="5"/>
      <c r="T880" s="5"/>
      <c r="U880" s="5"/>
      <c r="V880" s="5"/>
    </row>
    <row r="881" spans="14:22" x14ac:dyDescent="0.2">
      <c r="N881" s="5"/>
      <c r="O881" s="5"/>
      <c r="P881" s="5"/>
      <c r="Q881" s="5"/>
      <c r="R881" s="5"/>
      <c r="S881" s="5"/>
      <c r="T881" s="5"/>
      <c r="U881" s="5"/>
      <c r="V881" s="5"/>
    </row>
    <row r="882" spans="14:22" x14ac:dyDescent="0.2">
      <c r="N882" s="5"/>
      <c r="O882" s="5"/>
      <c r="P882" s="5"/>
      <c r="Q882" s="5"/>
      <c r="R882" s="5"/>
      <c r="S882" s="5"/>
      <c r="T882" s="5"/>
      <c r="U882" s="5"/>
      <c r="V882" s="5"/>
    </row>
    <row r="883" spans="14:22" x14ac:dyDescent="0.2">
      <c r="N883" s="5"/>
      <c r="O883" s="5"/>
      <c r="P883" s="5"/>
      <c r="Q883" s="5"/>
      <c r="R883" s="5"/>
      <c r="S883" s="5"/>
      <c r="T883" s="5"/>
      <c r="U883" s="5"/>
      <c r="V883" s="5"/>
    </row>
    <row r="884" spans="14:22" x14ac:dyDescent="0.2">
      <c r="N884" s="5"/>
      <c r="O884" s="5"/>
      <c r="P884" s="5"/>
      <c r="Q884" s="5"/>
      <c r="R884" s="5"/>
      <c r="S884" s="5"/>
      <c r="T884" s="5"/>
      <c r="U884" s="5"/>
      <c r="V884" s="5"/>
    </row>
    <row r="885" spans="14:22" x14ac:dyDescent="0.2">
      <c r="N885" s="5"/>
      <c r="O885" s="5"/>
      <c r="P885" s="5"/>
      <c r="Q885" s="5"/>
      <c r="R885" s="5"/>
      <c r="S885" s="5"/>
      <c r="T885" s="5"/>
      <c r="U885" s="5"/>
      <c r="V885" s="5"/>
    </row>
    <row r="886" spans="14:22" x14ac:dyDescent="0.2">
      <c r="N886" s="5"/>
      <c r="O886" s="5"/>
      <c r="P886" s="5"/>
      <c r="Q886" s="5"/>
      <c r="R886" s="5"/>
      <c r="S886" s="5"/>
      <c r="T886" s="5"/>
      <c r="U886" s="5"/>
      <c r="V886" s="5"/>
    </row>
    <row r="887" spans="14:22" x14ac:dyDescent="0.2">
      <c r="N887" s="5"/>
      <c r="O887" s="5"/>
      <c r="P887" s="5"/>
      <c r="Q887" s="5"/>
      <c r="R887" s="5"/>
      <c r="S887" s="5"/>
      <c r="T887" s="5"/>
      <c r="U887" s="5"/>
      <c r="V887" s="5"/>
    </row>
    <row r="888" spans="14:22" x14ac:dyDescent="0.2">
      <c r="N888" s="5"/>
      <c r="O888" s="5"/>
      <c r="P888" s="5"/>
      <c r="Q888" s="5"/>
      <c r="R888" s="5"/>
      <c r="S888" s="5"/>
      <c r="T888" s="5"/>
      <c r="U888" s="5"/>
      <c r="V888" s="5"/>
    </row>
    <row r="889" spans="14:22" x14ac:dyDescent="0.2">
      <c r="N889" s="5"/>
      <c r="O889" s="5"/>
      <c r="P889" s="5"/>
      <c r="Q889" s="5"/>
      <c r="R889" s="5"/>
      <c r="S889" s="5"/>
      <c r="T889" s="5"/>
      <c r="U889" s="5"/>
      <c r="V889" s="5"/>
    </row>
    <row r="890" spans="14:22" x14ac:dyDescent="0.2">
      <c r="N890" s="5"/>
      <c r="O890" s="5"/>
      <c r="P890" s="5"/>
      <c r="Q890" s="5"/>
      <c r="R890" s="5"/>
      <c r="S890" s="5"/>
      <c r="T890" s="5"/>
      <c r="U890" s="5"/>
      <c r="V890" s="5"/>
    </row>
    <row r="891" spans="14:22" x14ac:dyDescent="0.2">
      <c r="N891" s="5"/>
      <c r="O891" s="5"/>
      <c r="P891" s="5"/>
      <c r="Q891" s="5"/>
      <c r="R891" s="5"/>
      <c r="S891" s="5"/>
      <c r="T891" s="5"/>
      <c r="U891" s="5"/>
      <c r="V891" s="5"/>
    </row>
    <row r="892" spans="14:22" x14ac:dyDescent="0.2">
      <c r="N892" s="5"/>
      <c r="O892" s="5"/>
      <c r="P892" s="5"/>
      <c r="Q892" s="5"/>
      <c r="R892" s="5"/>
      <c r="S892" s="5"/>
      <c r="T892" s="5"/>
      <c r="U892" s="5"/>
      <c r="V892" s="5"/>
    </row>
    <row r="893" spans="14:22" x14ac:dyDescent="0.2">
      <c r="N893" s="5"/>
      <c r="O893" s="5"/>
      <c r="P893" s="5"/>
      <c r="Q893" s="5"/>
      <c r="R893" s="5"/>
      <c r="S893" s="5"/>
      <c r="T893" s="5"/>
      <c r="U893" s="5"/>
      <c r="V893" s="5"/>
    </row>
    <row r="894" spans="14:22" x14ac:dyDescent="0.2">
      <c r="N894" s="5"/>
      <c r="O894" s="5"/>
      <c r="P894" s="5"/>
      <c r="Q894" s="5"/>
      <c r="R894" s="5"/>
      <c r="S894" s="5"/>
      <c r="T894" s="5"/>
      <c r="U894" s="5"/>
      <c r="V894" s="5"/>
    </row>
    <row r="895" spans="14:22" x14ac:dyDescent="0.2">
      <c r="N895" s="5"/>
      <c r="O895" s="5"/>
      <c r="P895" s="5"/>
      <c r="Q895" s="5"/>
      <c r="R895" s="5"/>
      <c r="S895" s="5"/>
      <c r="T895" s="5"/>
      <c r="U895" s="5"/>
      <c r="V895" s="5"/>
    </row>
    <row r="896" spans="14:22" x14ac:dyDescent="0.2">
      <c r="N896" s="5"/>
      <c r="O896" s="5"/>
      <c r="P896" s="5"/>
      <c r="Q896" s="5"/>
      <c r="R896" s="5"/>
      <c r="S896" s="5"/>
      <c r="T896" s="5"/>
      <c r="U896" s="5"/>
      <c r="V896" s="5"/>
    </row>
    <row r="897" spans="14:22" x14ac:dyDescent="0.2">
      <c r="N897" s="5"/>
      <c r="O897" s="5"/>
      <c r="P897" s="5"/>
      <c r="Q897" s="5"/>
      <c r="R897" s="5"/>
      <c r="S897" s="5"/>
      <c r="T897" s="5"/>
      <c r="U897" s="5"/>
      <c r="V897" s="5"/>
    </row>
    <row r="898" spans="14:22" x14ac:dyDescent="0.2">
      <c r="N898" s="5"/>
      <c r="O898" s="5"/>
      <c r="P898" s="5"/>
      <c r="Q898" s="5"/>
      <c r="R898" s="5"/>
      <c r="S898" s="5"/>
      <c r="T898" s="5"/>
      <c r="U898" s="5"/>
      <c r="V898" s="5"/>
    </row>
    <row r="899" spans="14:22" x14ac:dyDescent="0.2">
      <c r="N899" s="5"/>
      <c r="O899" s="5"/>
      <c r="P899" s="5"/>
      <c r="Q899" s="5"/>
      <c r="R899" s="5"/>
      <c r="S899" s="5"/>
      <c r="T899" s="5"/>
      <c r="U899" s="5"/>
      <c r="V899" s="5"/>
    </row>
    <row r="900" spans="14:22" x14ac:dyDescent="0.2">
      <c r="N900" s="5"/>
      <c r="O900" s="5"/>
      <c r="P900" s="5"/>
      <c r="Q900" s="5"/>
      <c r="R900" s="5"/>
      <c r="S900" s="5"/>
      <c r="T900" s="5"/>
      <c r="U900" s="5"/>
      <c r="V900" s="5"/>
    </row>
    <row r="901" spans="14:22" x14ac:dyDescent="0.2">
      <c r="N901" s="5"/>
      <c r="O901" s="5"/>
      <c r="P901" s="5"/>
      <c r="Q901" s="5"/>
      <c r="R901" s="5"/>
      <c r="S901" s="5"/>
      <c r="T901" s="5"/>
      <c r="U901" s="5"/>
      <c r="V901" s="5"/>
    </row>
    <row r="902" spans="14:22" x14ac:dyDescent="0.2">
      <c r="N902" s="5"/>
      <c r="O902" s="5"/>
      <c r="P902" s="5"/>
      <c r="Q902" s="5"/>
      <c r="R902" s="5"/>
      <c r="S902" s="5"/>
      <c r="T902" s="5"/>
      <c r="U902" s="5"/>
      <c r="V902" s="5"/>
    </row>
    <row r="903" spans="14:22" x14ac:dyDescent="0.2">
      <c r="N903" s="5"/>
      <c r="O903" s="5"/>
      <c r="P903" s="5"/>
      <c r="Q903" s="5"/>
      <c r="R903" s="5"/>
      <c r="S903" s="5"/>
      <c r="T903" s="5"/>
      <c r="U903" s="5"/>
      <c r="V903" s="5"/>
    </row>
    <row r="904" spans="14:22" x14ac:dyDescent="0.2">
      <c r="N904" s="5"/>
      <c r="O904" s="5"/>
      <c r="P904" s="5"/>
      <c r="Q904" s="5"/>
      <c r="R904" s="5"/>
      <c r="S904" s="5"/>
      <c r="T904" s="5"/>
      <c r="U904" s="5"/>
      <c r="V904" s="5"/>
    </row>
    <row r="905" spans="14:22" x14ac:dyDescent="0.2">
      <c r="N905" s="5"/>
      <c r="O905" s="5"/>
      <c r="P905" s="5"/>
      <c r="Q905" s="5"/>
      <c r="R905" s="5"/>
      <c r="S905" s="5"/>
      <c r="T905" s="5"/>
      <c r="U905" s="5"/>
      <c r="V905" s="5"/>
    </row>
    <row r="906" spans="14:22" x14ac:dyDescent="0.2">
      <c r="N906" s="5"/>
      <c r="O906" s="5"/>
      <c r="P906" s="5"/>
      <c r="Q906" s="5"/>
      <c r="R906" s="5"/>
      <c r="S906" s="5"/>
      <c r="T906" s="5"/>
      <c r="U906" s="5"/>
      <c r="V906" s="5"/>
    </row>
    <row r="907" spans="14:22" x14ac:dyDescent="0.2">
      <c r="N907" s="5"/>
      <c r="O907" s="5"/>
      <c r="P907" s="5"/>
      <c r="Q907" s="5"/>
      <c r="R907" s="5"/>
      <c r="S907" s="5"/>
      <c r="T907" s="5"/>
      <c r="U907" s="5"/>
      <c r="V907" s="5"/>
    </row>
    <row r="908" spans="14:22" x14ac:dyDescent="0.2">
      <c r="N908" s="5"/>
      <c r="O908" s="5"/>
      <c r="P908" s="5"/>
      <c r="Q908" s="5"/>
      <c r="R908" s="5"/>
      <c r="S908" s="5"/>
      <c r="T908" s="5"/>
      <c r="U908" s="5"/>
      <c r="V908" s="5"/>
    </row>
    <row r="909" spans="14:22" x14ac:dyDescent="0.2">
      <c r="N909" s="5"/>
      <c r="O909" s="5"/>
      <c r="P909" s="5"/>
      <c r="Q909" s="5"/>
      <c r="R909" s="5"/>
      <c r="S909" s="5"/>
      <c r="T909" s="5"/>
      <c r="U909" s="5"/>
      <c r="V909" s="5"/>
    </row>
    <row r="910" spans="14:22" x14ac:dyDescent="0.2">
      <c r="N910" s="5"/>
      <c r="O910" s="5"/>
      <c r="P910" s="5"/>
      <c r="Q910" s="5"/>
      <c r="R910" s="5"/>
      <c r="S910" s="5"/>
      <c r="T910" s="5"/>
      <c r="U910" s="5"/>
      <c r="V910" s="5"/>
    </row>
    <row r="911" spans="14:22" x14ac:dyDescent="0.2">
      <c r="N911" s="5"/>
      <c r="O911" s="5"/>
      <c r="P911" s="5"/>
      <c r="Q911" s="5"/>
      <c r="R911" s="5"/>
      <c r="S911" s="5"/>
      <c r="T911" s="5"/>
      <c r="U911" s="5"/>
      <c r="V911" s="5"/>
    </row>
    <row r="912" spans="14:22" x14ac:dyDescent="0.2">
      <c r="N912" s="5"/>
      <c r="O912" s="5"/>
      <c r="P912" s="5"/>
      <c r="Q912" s="5"/>
      <c r="R912" s="5"/>
      <c r="S912" s="5"/>
      <c r="T912" s="5"/>
      <c r="U912" s="5"/>
      <c r="V912" s="5"/>
    </row>
    <row r="913" spans="14:22" x14ac:dyDescent="0.2">
      <c r="N913" s="5"/>
      <c r="O913" s="5"/>
      <c r="P913" s="5"/>
      <c r="Q913" s="5"/>
      <c r="R913" s="5"/>
      <c r="S913" s="5"/>
      <c r="T913" s="5"/>
      <c r="U913" s="5"/>
      <c r="V913" s="5"/>
    </row>
    <row r="914" spans="14:22" x14ac:dyDescent="0.2">
      <c r="N914" s="5"/>
      <c r="O914" s="5"/>
      <c r="P914" s="5"/>
      <c r="Q914" s="5"/>
      <c r="R914" s="5"/>
      <c r="S914" s="5"/>
      <c r="T914" s="5"/>
      <c r="U914" s="5"/>
      <c r="V914" s="5"/>
    </row>
    <row r="915" spans="14:22" x14ac:dyDescent="0.2">
      <c r="N915" s="5"/>
      <c r="O915" s="5"/>
      <c r="P915" s="5"/>
      <c r="Q915" s="5"/>
      <c r="R915" s="5"/>
      <c r="S915" s="5"/>
      <c r="T915" s="5"/>
      <c r="U915" s="5"/>
      <c r="V915" s="5"/>
    </row>
    <row r="916" spans="14:22" x14ac:dyDescent="0.2">
      <c r="N916" s="5"/>
      <c r="O916" s="5"/>
      <c r="P916" s="5"/>
      <c r="Q916" s="5"/>
      <c r="R916" s="5"/>
      <c r="S916" s="5"/>
      <c r="T916" s="5"/>
      <c r="U916" s="5"/>
      <c r="V916" s="5"/>
    </row>
    <row r="917" spans="14:22" x14ac:dyDescent="0.2">
      <c r="N917" s="5"/>
      <c r="O917" s="5"/>
      <c r="P917" s="5"/>
      <c r="Q917" s="5"/>
      <c r="R917" s="5"/>
      <c r="S917" s="5"/>
      <c r="T917" s="5"/>
      <c r="U917" s="5"/>
      <c r="V917" s="5"/>
    </row>
    <row r="918" spans="14:22" x14ac:dyDescent="0.2">
      <c r="N918" s="5"/>
      <c r="O918" s="5"/>
      <c r="P918" s="5"/>
      <c r="Q918" s="5"/>
      <c r="R918" s="5"/>
      <c r="S918" s="5"/>
      <c r="T918" s="5"/>
      <c r="U918" s="5"/>
      <c r="V918" s="5"/>
    </row>
    <row r="919" spans="14:22" x14ac:dyDescent="0.2">
      <c r="N919" s="5"/>
      <c r="O919" s="5"/>
      <c r="P919" s="5"/>
      <c r="Q919" s="5"/>
      <c r="R919" s="5"/>
      <c r="S919" s="5"/>
      <c r="T919" s="5"/>
      <c r="U919" s="5"/>
      <c r="V919" s="5"/>
    </row>
    <row r="920" spans="14:22" x14ac:dyDescent="0.2">
      <c r="N920" s="5"/>
      <c r="O920" s="5"/>
      <c r="P920" s="5"/>
      <c r="Q920" s="5"/>
      <c r="R920" s="5"/>
      <c r="S920" s="5"/>
      <c r="T920" s="5"/>
      <c r="U920" s="5"/>
      <c r="V920" s="5"/>
    </row>
    <row r="921" spans="14:22" x14ac:dyDescent="0.2">
      <c r="N921" s="5"/>
      <c r="O921" s="5"/>
      <c r="P921" s="5"/>
      <c r="Q921" s="5"/>
      <c r="R921" s="5"/>
      <c r="S921" s="5"/>
      <c r="T921" s="5"/>
      <c r="U921" s="5"/>
      <c r="V921" s="5"/>
    </row>
    <row r="922" spans="14:22" x14ac:dyDescent="0.2">
      <c r="N922" s="5"/>
      <c r="O922" s="5"/>
      <c r="P922" s="5"/>
      <c r="Q922" s="5"/>
      <c r="R922" s="5"/>
      <c r="S922" s="5"/>
      <c r="T922" s="5"/>
      <c r="U922" s="5"/>
      <c r="V922" s="5"/>
    </row>
    <row r="923" spans="14:22" x14ac:dyDescent="0.2">
      <c r="N923" s="5"/>
      <c r="O923" s="5"/>
      <c r="P923" s="5"/>
      <c r="Q923" s="5"/>
      <c r="R923" s="5"/>
      <c r="S923" s="5"/>
      <c r="T923" s="5"/>
      <c r="U923" s="5"/>
      <c r="V923" s="5"/>
    </row>
    <row r="924" spans="14:22" x14ac:dyDescent="0.2">
      <c r="N924" s="5"/>
      <c r="O924" s="5"/>
      <c r="P924" s="5"/>
      <c r="Q924" s="5"/>
      <c r="R924" s="5"/>
      <c r="S924" s="5"/>
      <c r="T924" s="5"/>
      <c r="U924" s="5"/>
      <c r="V924" s="5"/>
    </row>
    <row r="925" spans="14:22" x14ac:dyDescent="0.2">
      <c r="N925" s="5"/>
      <c r="O925" s="5"/>
      <c r="P925" s="5"/>
      <c r="Q925" s="5"/>
      <c r="R925" s="5"/>
      <c r="S925" s="5"/>
      <c r="T925" s="5"/>
      <c r="U925" s="5"/>
      <c r="V925" s="5"/>
    </row>
    <row r="926" spans="14:22" x14ac:dyDescent="0.2">
      <c r="N926" s="5"/>
      <c r="O926" s="5"/>
      <c r="P926" s="5"/>
      <c r="Q926" s="5"/>
      <c r="R926" s="5"/>
      <c r="S926" s="5"/>
      <c r="T926" s="5"/>
      <c r="U926" s="5"/>
      <c r="V926" s="5"/>
    </row>
    <row r="927" spans="14:22" x14ac:dyDescent="0.2">
      <c r="N927" s="5"/>
      <c r="O927" s="5"/>
      <c r="P927" s="5"/>
      <c r="Q927" s="5"/>
      <c r="R927" s="5"/>
      <c r="S927" s="5"/>
      <c r="T927" s="5"/>
      <c r="U927" s="5"/>
      <c r="V927" s="5"/>
    </row>
    <row r="928" spans="14:22" x14ac:dyDescent="0.2">
      <c r="N928" s="5"/>
      <c r="O928" s="5"/>
      <c r="P928" s="5"/>
      <c r="Q928" s="5"/>
      <c r="R928" s="5"/>
      <c r="S928" s="5"/>
      <c r="T928" s="5"/>
      <c r="U928" s="5"/>
      <c r="V928" s="5"/>
    </row>
    <row r="929" spans="14:22" x14ac:dyDescent="0.2">
      <c r="N929" s="5"/>
      <c r="O929" s="5"/>
      <c r="P929" s="5"/>
      <c r="Q929" s="5"/>
      <c r="R929" s="5"/>
      <c r="S929" s="5"/>
      <c r="T929" s="5"/>
      <c r="U929" s="5"/>
      <c r="V929" s="5"/>
    </row>
    <row r="930" spans="14:22" x14ac:dyDescent="0.2">
      <c r="N930" s="5"/>
      <c r="O930" s="5"/>
      <c r="P930" s="5"/>
      <c r="Q930" s="5"/>
      <c r="R930" s="5"/>
      <c r="S930" s="5"/>
      <c r="T930" s="5"/>
      <c r="U930" s="5"/>
      <c r="V930" s="5"/>
    </row>
    <row r="931" spans="14:22" x14ac:dyDescent="0.2">
      <c r="N931" s="5"/>
      <c r="O931" s="5"/>
      <c r="P931" s="5"/>
      <c r="Q931" s="5"/>
      <c r="R931" s="5"/>
      <c r="S931" s="5"/>
      <c r="T931" s="5"/>
      <c r="U931" s="5"/>
      <c r="V931" s="5"/>
    </row>
    <row r="932" spans="14:22" x14ac:dyDescent="0.2">
      <c r="N932" s="5"/>
      <c r="O932" s="5"/>
      <c r="P932" s="5"/>
      <c r="Q932" s="5"/>
      <c r="R932" s="5"/>
      <c r="S932" s="5"/>
      <c r="T932" s="5"/>
      <c r="U932" s="5"/>
      <c r="V932" s="5"/>
    </row>
    <row r="933" spans="14:22" x14ac:dyDescent="0.2">
      <c r="N933" s="5"/>
      <c r="O933" s="5"/>
      <c r="P933" s="5"/>
      <c r="Q933" s="5"/>
      <c r="R933" s="5"/>
      <c r="S933" s="5"/>
      <c r="T933" s="5"/>
      <c r="U933" s="5"/>
      <c r="V933" s="5"/>
    </row>
    <row r="934" spans="14:22" x14ac:dyDescent="0.2">
      <c r="N934" s="5"/>
      <c r="O934" s="5"/>
      <c r="P934" s="5"/>
      <c r="Q934" s="5"/>
      <c r="R934" s="5"/>
      <c r="S934" s="5"/>
      <c r="T934" s="5"/>
      <c r="U934" s="5"/>
      <c r="V934" s="5"/>
    </row>
    <row r="935" spans="14:22" x14ac:dyDescent="0.2">
      <c r="N935" s="5"/>
      <c r="O935" s="5"/>
      <c r="P935" s="5"/>
      <c r="Q935" s="5"/>
      <c r="R935" s="5"/>
      <c r="S935" s="5"/>
      <c r="T935" s="5"/>
      <c r="U935" s="5"/>
      <c r="V935" s="5"/>
    </row>
    <row r="936" spans="14:22" x14ac:dyDescent="0.2">
      <c r="N936" s="5"/>
      <c r="O936" s="5"/>
      <c r="P936" s="5"/>
      <c r="Q936" s="5"/>
      <c r="R936" s="5"/>
      <c r="S936" s="5"/>
      <c r="T936" s="5"/>
      <c r="U936" s="5"/>
      <c r="V936" s="5"/>
    </row>
    <row r="937" spans="14:22" x14ac:dyDescent="0.2">
      <c r="N937" s="5"/>
      <c r="O937" s="5"/>
      <c r="P937" s="5"/>
      <c r="Q937" s="5"/>
      <c r="R937" s="5"/>
      <c r="S937" s="5"/>
      <c r="T937" s="5"/>
      <c r="U937" s="5"/>
      <c r="V937" s="5"/>
    </row>
    <row r="938" spans="14:22" x14ac:dyDescent="0.2">
      <c r="N938" s="5"/>
      <c r="O938" s="5"/>
      <c r="P938" s="5"/>
      <c r="Q938" s="5"/>
      <c r="R938" s="5"/>
      <c r="S938" s="5"/>
      <c r="T938" s="5"/>
      <c r="U938" s="5"/>
      <c r="V938" s="5"/>
    </row>
    <row r="939" spans="14:22" x14ac:dyDescent="0.2">
      <c r="N939" s="5"/>
      <c r="O939" s="5"/>
      <c r="P939" s="5"/>
      <c r="Q939" s="5"/>
      <c r="R939" s="5"/>
      <c r="S939" s="5"/>
      <c r="T939" s="5"/>
      <c r="U939" s="5"/>
      <c r="V939" s="5"/>
    </row>
    <row r="940" spans="14:22" x14ac:dyDescent="0.2">
      <c r="N940" s="5"/>
      <c r="O940" s="5"/>
      <c r="P940" s="5"/>
      <c r="Q940" s="5"/>
      <c r="R940" s="5"/>
      <c r="S940" s="5"/>
      <c r="T940" s="5"/>
      <c r="U940" s="5"/>
      <c r="V940" s="5"/>
    </row>
    <row r="941" spans="14:22" x14ac:dyDescent="0.2">
      <c r="N941" s="5"/>
      <c r="O941" s="5"/>
      <c r="P941" s="5"/>
      <c r="Q941" s="5"/>
      <c r="R941" s="5"/>
      <c r="S941" s="5"/>
      <c r="T941" s="5"/>
      <c r="U941" s="5"/>
      <c r="V941" s="5"/>
    </row>
    <row r="942" spans="14:22" x14ac:dyDescent="0.2">
      <c r="N942" s="5"/>
      <c r="O942" s="5"/>
      <c r="P942" s="5"/>
      <c r="Q942" s="5"/>
      <c r="R942" s="5"/>
      <c r="S942" s="5"/>
      <c r="T942" s="5"/>
      <c r="U942" s="5"/>
      <c r="V942" s="5"/>
    </row>
    <row r="943" spans="14:22" x14ac:dyDescent="0.2">
      <c r="N943" s="5"/>
      <c r="O943" s="5"/>
      <c r="P943" s="5"/>
      <c r="Q943" s="5"/>
      <c r="R943" s="5"/>
      <c r="S943" s="5"/>
      <c r="T943" s="5"/>
      <c r="U943" s="5"/>
      <c r="V943" s="5"/>
    </row>
    <row r="944" spans="14:22" x14ac:dyDescent="0.2">
      <c r="N944" s="5"/>
      <c r="O944" s="5"/>
      <c r="P944" s="5"/>
      <c r="Q944" s="5"/>
      <c r="R944" s="5"/>
      <c r="S944" s="5"/>
      <c r="T944" s="5"/>
      <c r="U944" s="5"/>
      <c r="V944" s="5"/>
    </row>
    <row r="945" spans="14:22" x14ac:dyDescent="0.2">
      <c r="N945" s="5"/>
      <c r="O945" s="5"/>
      <c r="P945" s="5"/>
      <c r="Q945" s="5"/>
      <c r="R945" s="5"/>
      <c r="S945" s="5"/>
      <c r="T945" s="5"/>
      <c r="U945" s="5"/>
      <c r="V945" s="5"/>
    </row>
    <row r="946" spans="14:22" x14ac:dyDescent="0.2">
      <c r="N946" s="5"/>
      <c r="O946" s="5"/>
      <c r="P946" s="5"/>
      <c r="Q946" s="5"/>
      <c r="R946" s="5"/>
      <c r="S946" s="5"/>
      <c r="T946" s="5"/>
      <c r="U946" s="5"/>
      <c r="V946" s="5"/>
    </row>
    <row r="947" spans="14:22" x14ac:dyDescent="0.2">
      <c r="N947" s="5"/>
      <c r="O947" s="5"/>
      <c r="P947" s="5"/>
      <c r="Q947" s="5"/>
      <c r="R947" s="5"/>
      <c r="S947" s="5"/>
      <c r="T947" s="5"/>
      <c r="U947" s="5"/>
      <c r="V947" s="5"/>
    </row>
    <row r="948" spans="14:22" x14ac:dyDescent="0.2">
      <c r="N948" s="5"/>
      <c r="O948" s="5"/>
      <c r="P948" s="5"/>
      <c r="Q948" s="5"/>
      <c r="R948" s="5"/>
      <c r="S948" s="5"/>
      <c r="T948" s="5"/>
      <c r="U948" s="5"/>
      <c r="V948" s="5"/>
    </row>
    <row r="949" spans="14:22" x14ac:dyDescent="0.2">
      <c r="N949" s="5"/>
      <c r="O949" s="5"/>
      <c r="P949" s="5"/>
      <c r="Q949" s="5"/>
      <c r="R949" s="5"/>
      <c r="S949" s="5"/>
      <c r="T949" s="5"/>
      <c r="U949" s="5"/>
      <c r="V949" s="5"/>
    </row>
    <row r="950" spans="14:22" x14ac:dyDescent="0.2">
      <c r="N950" s="5"/>
      <c r="O950" s="5"/>
      <c r="P950" s="5"/>
      <c r="Q950" s="5"/>
      <c r="R950" s="5"/>
      <c r="S950" s="5"/>
      <c r="T950" s="5"/>
      <c r="U950" s="5"/>
      <c r="V950" s="5"/>
    </row>
    <row r="951" spans="14:22" x14ac:dyDescent="0.2">
      <c r="N951" s="5"/>
      <c r="O951" s="5"/>
      <c r="P951" s="5"/>
      <c r="Q951" s="5"/>
      <c r="R951" s="5"/>
      <c r="S951" s="5"/>
      <c r="T951" s="5"/>
      <c r="U951" s="5"/>
      <c r="V951" s="5"/>
    </row>
    <row r="952" spans="14:22" x14ac:dyDescent="0.2">
      <c r="N952" s="5"/>
      <c r="O952" s="5"/>
      <c r="P952" s="5"/>
      <c r="Q952" s="5"/>
      <c r="R952" s="5"/>
      <c r="S952" s="5"/>
      <c r="T952" s="5"/>
      <c r="U952" s="5"/>
      <c r="V952" s="5"/>
    </row>
    <row r="953" spans="14:22" x14ac:dyDescent="0.2">
      <c r="N953" s="5"/>
      <c r="O953" s="5"/>
      <c r="P953" s="5"/>
      <c r="Q953" s="5"/>
      <c r="R953" s="5"/>
      <c r="S953" s="5"/>
      <c r="T953" s="5"/>
      <c r="U953" s="5"/>
      <c r="V953" s="5"/>
    </row>
    <row r="954" spans="14:22" x14ac:dyDescent="0.2">
      <c r="N954" s="5"/>
      <c r="O954" s="5"/>
      <c r="P954" s="5"/>
      <c r="Q954" s="5"/>
      <c r="R954" s="5"/>
      <c r="S954" s="5"/>
      <c r="T954" s="5"/>
      <c r="U954" s="5"/>
      <c r="V954" s="5"/>
    </row>
    <row r="955" spans="14:22" x14ac:dyDescent="0.2">
      <c r="N955" s="5"/>
      <c r="O955" s="5"/>
      <c r="P955" s="5"/>
      <c r="Q955" s="5"/>
      <c r="R955" s="5"/>
      <c r="S955" s="5"/>
      <c r="T955" s="5"/>
      <c r="U955" s="5"/>
      <c r="V955" s="5"/>
    </row>
    <row r="956" spans="14:22" x14ac:dyDescent="0.2">
      <c r="N956" s="5"/>
      <c r="O956" s="5"/>
      <c r="P956" s="5"/>
      <c r="Q956" s="5"/>
      <c r="R956" s="5"/>
      <c r="S956" s="5"/>
      <c r="T956" s="5"/>
      <c r="U956" s="5"/>
      <c r="V956" s="5"/>
    </row>
    <row r="957" spans="14:22" x14ac:dyDescent="0.2">
      <c r="N957" s="5"/>
      <c r="O957" s="5"/>
      <c r="P957" s="5"/>
      <c r="Q957" s="5"/>
      <c r="R957" s="5"/>
      <c r="S957" s="5"/>
      <c r="T957" s="5"/>
      <c r="U957" s="5"/>
      <c r="V957" s="5"/>
    </row>
    <row r="958" spans="14:22" x14ac:dyDescent="0.2">
      <c r="N958" s="5"/>
      <c r="O958" s="5"/>
      <c r="P958" s="5"/>
      <c r="Q958" s="5"/>
      <c r="R958" s="5"/>
      <c r="S958" s="5"/>
      <c r="T958" s="5"/>
      <c r="U958" s="5"/>
      <c r="V958" s="5"/>
    </row>
    <row r="959" spans="14:22" x14ac:dyDescent="0.2">
      <c r="N959" s="5"/>
      <c r="O959" s="5"/>
      <c r="P959" s="5"/>
      <c r="Q959" s="5"/>
      <c r="R959" s="5"/>
      <c r="S959" s="5"/>
      <c r="T959" s="5"/>
      <c r="U959" s="5"/>
      <c r="V959" s="5"/>
    </row>
    <row r="960" spans="14:22" x14ac:dyDescent="0.2">
      <c r="N960" s="5"/>
      <c r="O960" s="5"/>
      <c r="P960" s="5"/>
      <c r="Q960" s="5"/>
      <c r="R960" s="5"/>
      <c r="S960" s="5"/>
      <c r="T960" s="5"/>
      <c r="U960" s="5"/>
      <c r="V960" s="5"/>
    </row>
    <row r="961" spans="14:22" x14ac:dyDescent="0.2">
      <c r="N961" s="5"/>
      <c r="O961" s="5"/>
      <c r="P961" s="5"/>
      <c r="Q961" s="5"/>
      <c r="R961" s="5"/>
      <c r="S961" s="5"/>
      <c r="T961" s="5"/>
      <c r="U961" s="5"/>
      <c r="V961" s="5"/>
    </row>
    <row r="962" spans="14:22" x14ac:dyDescent="0.2">
      <c r="N962" s="5"/>
      <c r="O962" s="5"/>
      <c r="P962" s="5"/>
      <c r="Q962" s="5"/>
      <c r="R962" s="5"/>
      <c r="S962" s="5"/>
      <c r="T962" s="5"/>
      <c r="U962" s="5"/>
      <c r="V962" s="5"/>
    </row>
    <row r="963" spans="14:22" x14ac:dyDescent="0.2">
      <c r="N963" s="5"/>
      <c r="O963" s="5"/>
      <c r="P963" s="5"/>
      <c r="Q963" s="5"/>
      <c r="R963" s="5"/>
      <c r="S963" s="5"/>
      <c r="T963" s="5"/>
      <c r="U963" s="5"/>
      <c r="V963" s="5"/>
    </row>
    <row r="964" spans="14:22" x14ac:dyDescent="0.2">
      <c r="N964" s="5"/>
      <c r="O964" s="5"/>
      <c r="P964" s="5"/>
      <c r="Q964" s="5"/>
      <c r="R964" s="5"/>
      <c r="S964" s="5"/>
      <c r="T964" s="5"/>
      <c r="U964" s="5"/>
      <c r="V964" s="5"/>
    </row>
    <row r="965" spans="14:22" x14ac:dyDescent="0.2">
      <c r="N965" s="5"/>
      <c r="O965" s="5"/>
      <c r="P965" s="5"/>
      <c r="Q965" s="5"/>
      <c r="R965" s="5"/>
      <c r="S965" s="5"/>
      <c r="T965" s="5"/>
      <c r="U965" s="5"/>
      <c r="V965" s="5"/>
    </row>
    <row r="966" spans="14:22" x14ac:dyDescent="0.2">
      <c r="N966" s="5"/>
      <c r="O966" s="5"/>
      <c r="P966" s="5"/>
      <c r="Q966" s="5"/>
      <c r="R966" s="5"/>
      <c r="S966" s="5"/>
      <c r="T966" s="5"/>
      <c r="U966" s="5"/>
      <c r="V966" s="5"/>
    </row>
    <row r="967" spans="14:22" x14ac:dyDescent="0.2">
      <c r="N967" s="5"/>
      <c r="O967" s="5"/>
      <c r="P967" s="5"/>
      <c r="Q967" s="5"/>
      <c r="R967" s="5"/>
      <c r="S967" s="5"/>
      <c r="T967" s="5"/>
      <c r="U967" s="5"/>
      <c r="V967" s="5"/>
    </row>
    <row r="968" spans="14:22" x14ac:dyDescent="0.2">
      <c r="N968" s="5"/>
      <c r="O968" s="5"/>
      <c r="P968" s="5"/>
      <c r="Q968" s="5"/>
      <c r="R968" s="5"/>
      <c r="S968" s="5"/>
      <c r="T968" s="5"/>
      <c r="U968" s="5"/>
      <c r="V968" s="5"/>
    </row>
    <row r="969" spans="14:22" x14ac:dyDescent="0.2">
      <c r="N969" s="5"/>
      <c r="O969" s="5"/>
      <c r="P969" s="5"/>
      <c r="Q969" s="5"/>
      <c r="R969" s="5"/>
      <c r="S969" s="5"/>
      <c r="T969" s="5"/>
      <c r="U969" s="5"/>
      <c r="V969" s="5"/>
    </row>
    <row r="970" spans="14:22" x14ac:dyDescent="0.2">
      <c r="N970" s="5"/>
      <c r="O970" s="5"/>
      <c r="P970" s="5"/>
      <c r="Q970" s="5"/>
      <c r="R970" s="5"/>
      <c r="S970" s="5"/>
      <c r="T970" s="5"/>
      <c r="U970" s="5"/>
      <c r="V970" s="5"/>
    </row>
    <row r="971" spans="14:22" x14ac:dyDescent="0.2">
      <c r="N971" s="5"/>
      <c r="O971" s="5"/>
      <c r="P971" s="5"/>
      <c r="Q971" s="5"/>
      <c r="R971" s="5"/>
      <c r="S971" s="5"/>
      <c r="T971" s="5"/>
      <c r="U971" s="5"/>
      <c r="V971" s="5"/>
    </row>
    <row r="972" spans="14:22" x14ac:dyDescent="0.2">
      <c r="N972" s="5"/>
      <c r="O972" s="5"/>
      <c r="P972" s="5"/>
      <c r="Q972" s="5"/>
      <c r="R972" s="5"/>
      <c r="S972" s="5"/>
      <c r="T972" s="5"/>
      <c r="U972" s="5"/>
      <c r="V972" s="5"/>
    </row>
    <row r="973" spans="14:22" x14ac:dyDescent="0.2">
      <c r="N973" s="5"/>
      <c r="O973" s="5"/>
      <c r="P973" s="5"/>
      <c r="Q973" s="5"/>
      <c r="R973" s="5"/>
      <c r="S973" s="5"/>
      <c r="T973" s="5"/>
      <c r="U973" s="5"/>
      <c r="V973" s="5"/>
    </row>
    <row r="974" spans="14:22" x14ac:dyDescent="0.2">
      <c r="N974" s="5"/>
      <c r="O974" s="5"/>
      <c r="P974" s="5"/>
      <c r="Q974" s="5"/>
      <c r="R974" s="5"/>
      <c r="S974" s="5"/>
      <c r="T974" s="5"/>
      <c r="U974" s="5"/>
      <c r="V974" s="5"/>
    </row>
    <row r="975" spans="14:22" x14ac:dyDescent="0.2">
      <c r="N975" s="5"/>
      <c r="O975" s="5"/>
      <c r="P975" s="5"/>
      <c r="Q975" s="5"/>
      <c r="R975" s="5"/>
      <c r="S975" s="5"/>
      <c r="T975" s="5"/>
      <c r="U975" s="5"/>
      <c r="V975" s="5"/>
    </row>
    <row r="976" spans="14:22" x14ac:dyDescent="0.2">
      <c r="N976" s="5"/>
      <c r="O976" s="5"/>
      <c r="P976" s="5"/>
      <c r="Q976" s="5"/>
      <c r="R976" s="5"/>
      <c r="S976" s="5"/>
      <c r="T976" s="5"/>
      <c r="U976" s="5"/>
      <c r="V976" s="5"/>
    </row>
    <row r="977" spans="14:22" x14ac:dyDescent="0.2">
      <c r="N977" s="5"/>
      <c r="O977" s="5"/>
      <c r="P977" s="5"/>
      <c r="Q977" s="5"/>
      <c r="R977" s="5"/>
      <c r="S977" s="5"/>
      <c r="T977" s="5"/>
      <c r="U977" s="5"/>
      <c r="V977" s="5"/>
    </row>
    <row r="978" spans="14:22" x14ac:dyDescent="0.2">
      <c r="N978" s="5"/>
      <c r="O978" s="5"/>
      <c r="P978" s="5"/>
      <c r="Q978" s="5"/>
      <c r="R978" s="5"/>
      <c r="S978" s="5"/>
      <c r="T978" s="5"/>
      <c r="U978" s="5"/>
      <c r="V978" s="5"/>
    </row>
    <row r="979" spans="14:22" x14ac:dyDescent="0.2">
      <c r="N979" s="5"/>
      <c r="O979" s="5"/>
      <c r="P979" s="5"/>
      <c r="Q979" s="5"/>
      <c r="R979" s="5"/>
      <c r="S979" s="5"/>
      <c r="T979" s="5"/>
      <c r="U979" s="5"/>
      <c r="V979" s="5"/>
    </row>
    <row r="980" spans="14:22" x14ac:dyDescent="0.2">
      <c r="N980" s="5"/>
      <c r="O980" s="5"/>
      <c r="P980" s="5"/>
      <c r="Q980" s="5"/>
      <c r="R980" s="5"/>
      <c r="S980" s="5"/>
      <c r="T980" s="5"/>
      <c r="U980" s="5"/>
      <c r="V980" s="5"/>
    </row>
    <row r="981" spans="14:22" x14ac:dyDescent="0.2">
      <c r="N981" s="5"/>
      <c r="O981" s="5"/>
      <c r="P981" s="5"/>
      <c r="Q981" s="5"/>
      <c r="R981" s="5"/>
      <c r="S981" s="5"/>
      <c r="T981" s="5"/>
      <c r="U981" s="5"/>
      <c r="V981" s="5"/>
    </row>
    <row r="982" spans="14:22" x14ac:dyDescent="0.2">
      <c r="N982" s="5"/>
      <c r="O982" s="5"/>
      <c r="P982" s="5"/>
      <c r="Q982" s="5"/>
      <c r="R982" s="5"/>
      <c r="S982" s="5"/>
      <c r="T982" s="5"/>
      <c r="U982" s="5"/>
      <c r="V982" s="5"/>
    </row>
    <row r="983" spans="14:22" x14ac:dyDescent="0.2">
      <c r="N983" s="5"/>
      <c r="O983" s="5"/>
      <c r="P983" s="5"/>
      <c r="Q983" s="5"/>
      <c r="R983" s="5"/>
      <c r="S983" s="5"/>
      <c r="T983" s="5"/>
      <c r="U983" s="5"/>
      <c r="V983" s="5"/>
    </row>
    <row r="984" spans="14:22" x14ac:dyDescent="0.2">
      <c r="N984" s="5"/>
      <c r="O984" s="5"/>
      <c r="P984" s="5"/>
      <c r="Q984" s="5"/>
      <c r="R984" s="5"/>
      <c r="S984" s="5"/>
      <c r="T984" s="5"/>
      <c r="U984" s="5"/>
      <c r="V984" s="5"/>
    </row>
    <row r="985" spans="14:22" x14ac:dyDescent="0.2">
      <c r="N985" s="5"/>
      <c r="O985" s="5"/>
      <c r="P985" s="5"/>
      <c r="Q985" s="5"/>
      <c r="R985" s="5"/>
      <c r="S985" s="5"/>
      <c r="T985" s="5"/>
      <c r="U985" s="5"/>
      <c r="V985" s="5"/>
    </row>
    <row r="986" spans="14:22" x14ac:dyDescent="0.2">
      <c r="N986" s="5"/>
      <c r="O986" s="5"/>
      <c r="P986" s="5"/>
      <c r="Q986" s="5"/>
      <c r="R986" s="5"/>
      <c r="S986" s="5"/>
      <c r="T986" s="5"/>
      <c r="U986" s="5"/>
      <c r="V986" s="5"/>
    </row>
    <row r="987" spans="14:22" x14ac:dyDescent="0.2">
      <c r="N987" s="5"/>
      <c r="O987" s="5"/>
      <c r="P987" s="5"/>
      <c r="Q987" s="5"/>
      <c r="R987" s="5"/>
      <c r="S987" s="5"/>
      <c r="T987" s="5"/>
      <c r="U987" s="5"/>
      <c r="V987" s="5"/>
    </row>
    <row r="988" spans="14:22" x14ac:dyDescent="0.2">
      <c r="N988" s="5"/>
      <c r="O988" s="5"/>
      <c r="P988" s="5"/>
      <c r="Q988" s="5"/>
      <c r="R988" s="5"/>
      <c r="S988" s="5"/>
      <c r="T988" s="5"/>
      <c r="U988" s="5"/>
      <c r="V988" s="5"/>
    </row>
    <row r="989" spans="14:22" x14ac:dyDescent="0.2">
      <c r="N989" s="5"/>
      <c r="O989" s="5"/>
      <c r="P989" s="5"/>
      <c r="Q989" s="5"/>
      <c r="R989" s="5"/>
      <c r="S989" s="5"/>
      <c r="T989" s="5"/>
      <c r="U989" s="5"/>
      <c r="V989" s="5"/>
    </row>
    <row r="990" spans="14:22" x14ac:dyDescent="0.2">
      <c r="N990" s="5"/>
      <c r="O990" s="5"/>
      <c r="P990" s="5"/>
      <c r="Q990" s="5"/>
      <c r="R990" s="5"/>
      <c r="S990" s="5"/>
      <c r="T990" s="5"/>
      <c r="U990" s="5"/>
      <c r="V990" s="5"/>
    </row>
    <row r="991" spans="14:22" x14ac:dyDescent="0.2">
      <c r="N991" s="5"/>
      <c r="O991" s="5"/>
      <c r="P991" s="5"/>
      <c r="Q991" s="5"/>
      <c r="R991" s="5"/>
      <c r="S991" s="5"/>
      <c r="T991" s="5"/>
      <c r="U991" s="5"/>
      <c r="V991" s="5"/>
    </row>
    <row r="992" spans="14:22" x14ac:dyDescent="0.2">
      <c r="N992" s="5"/>
      <c r="O992" s="5"/>
      <c r="P992" s="5"/>
      <c r="Q992" s="5"/>
      <c r="R992" s="5"/>
      <c r="S992" s="5"/>
      <c r="T992" s="5"/>
      <c r="U992" s="5"/>
      <c r="V992" s="5"/>
    </row>
    <row r="993" spans="14:22" x14ac:dyDescent="0.2">
      <c r="N993" s="5"/>
      <c r="O993" s="5"/>
      <c r="P993" s="5"/>
      <c r="Q993" s="5"/>
      <c r="R993" s="5"/>
      <c r="S993" s="5"/>
      <c r="T993" s="5"/>
      <c r="U993" s="5"/>
      <c r="V993" s="5"/>
    </row>
    <row r="994" spans="14:22" x14ac:dyDescent="0.2">
      <c r="N994" s="5"/>
      <c r="O994" s="5"/>
      <c r="P994" s="5"/>
      <c r="Q994" s="5"/>
      <c r="R994" s="5"/>
      <c r="S994" s="5"/>
      <c r="T994" s="5"/>
      <c r="U994" s="5"/>
      <c r="V994" s="5"/>
    </row>
    <row r="995" spans="14:22" x14ac:dyDescent="0.2">
      <c r="N995" s="5"/>
      <c r="O995" s="5"/>
      <c r="P995" s="5"/>
      <c r="Q995" s="5"/>
      <c r="R995" s="5"/>
      <c r="S995" s="5"/>
      <c r="T995" s="5"/>
      <c r="U995" s="5"/>
      <c r="V995" s="5"/>
    </row>
    <row r="996" spans="14:22" x14ac:dyDescent="0.2">
      <c r="N996" s="5"/>
      <c r="O996" s="5"/>
      <c r="P996" s="5"/>
      <c r="Q996" s="5"/>
      <c r="R996" s="5"/>
      <c r="S996" s="5"/>
      <c r="T996" s="5"/>
      <c r="U996" s="5"/>
      <c r="V996" s="5"/>
    </row>
    <row r="997" spans="14:22" x14ac:dyDescent="0.2">
      <c r="N997" s="5"/>
      <c r="O997" s="5"/>
      <c r="P997" s="5"/>
      <c r="Q997" s="5"/>
      <c r="R997" s="5"/>
      <c r="S997" s="5"/>
      <c r="T997" s="5"/>
      <c r="U997" s="5"/>
      <c r="V997" s="5"/>
    </row>
    <row r="998" spans="14:22" x14ac:dyDescent="0.2">
      <c r="N998" s="5"/>
      <c r="O998" s="5"/>
      <c r="P998" s="5"/>
      <c r="Q998" s="5"/>
      <c r="R998" s="5"/>
      <c r="S998" s="5"/>
      <c r="T998" s="5"/>
      <c r="U998" s="5"/>
      <c r="V998" s="5"/>
    </row>
    <row r="999" spans="14:22" x14ac:dyDescent="0.2">
      <c r="N999" s="5"/>
      <c r="O999" s="5"/>
      <c r="P999" s="5"/>
      <c r="Q999" s="5"/>
      <c r="R999" s="5"/>
      <c r="S999" s="5"/>
      <c r="T999" s="5"/>
      <c r="U999" s="5"/>
      <c r="V999" s="5"/>
    </row>
    <row r="1000" spans="14:22" x14ac:dyDescent="0.2">
      <c r="N1000" s="5"/>
      <c r="O1000" s="5"/>
      <c r="P1000" s="5"/>
      <c r="Q1000" s="5"/>
      <c r="R1000" s="5"/>
      <c r="S1000" s="5"/>
      <c r="T1000" s="5"/>
      <c r="U1000" s="5"/>
      <c r="V1000" s="5"/>
    </row>
    <row r="1001" spans="14:22" x14ac:dyDescent="0.2">
      <c r="N1001" s="5"/>
      <c r="O1001" s="5"/>
      <c r="P1001" s="5"/>
      <c r="Q1001" s="5"/>
      <c r="R1001" s="5"/>
      <c r="S1001" s="5"/>
      <c r="T1001" s="5"/>
      <c r="U1001" s="5"/>
      <c r="V1001" s="5"/>
    </row>
    <row r="1002" spans="14:22" x14ac:dyDescent="0.2">
      <c r="N1002" s="5"/>
      <c r="O1002" s="5"/>
      <c r="P1002" s="5"/>
      <c r="Q1002" s="5"/>
      <c r="R1002" s="5"/>
      <c r="S1002" s="5"/>
      <c r="T1002" s="5"/>
      <c r="U1002" s="5"/>
      <c r="V1002" s="5"/>
    </row>
    <row r="1003" spans="14:22" x14ac:dyDescent="0.2">
      <c r="N1003" s="5"/>
      <c r="O1003" s="5"/>
      <c r="P1003" s="5"/>
      <c r="Q1003" s="5"/>
      <c r="R1003" s="5"/>
      <c r="S1003" s="5"/>
      <c r="T1003" s="5"/>
      <c r="U1003" s="5"/>
      <c r="V1003" s="5"/>
    </row>
    <row r="1004" spans="14:22" x14ac:dyDescent="0.2">
      <c r="N1004" s="5"/>
      <c r="O1004" s="5"/>
      <c r="P1004" s="5"/>
      <c r="Q1004" s="5"/>
      <c r="R1004" s="5"/>
      <c r="S1004" s="5"/>
      <c r="T1004" s="5"/>
      <c r="U1004" s="5"/>
      <c r="V1004" s="5"/>
    </row>
    <row r="1005" spans="14:22" x14ac:dyDescent="0.2">
      <c r="N1005" s="5"/>
      <c r="O1005" s="5"/>
      <c r="P1005" s="5"/>
      <c r="Q1005" s="5"/>
      <c r="R1005" s="5"/>
      <c r="S1005" s="5"/>
      <c r="T1005" s="5"/>
      <c r="U1005" s="5"/>
      <c r="V1005" s="5"/>
    </row>
    <row r="1006" spans="14:22" x14ac:dyDescent="0.2">
      <c r="N1006" s="5"/>
      <c r="O1006" s="5"/>
      <c r="P1006" s="5"/>
      <c r="Q1006" s="5"/>
      <c r="R1006" s="5"/>
      <c r="S1006" s="5"/>
      <c r="T1006" s="5"/>
      <c r="U1006" s="5"/>
      <c r="V1006" s="5"/>
    </row>
    <row r="1007" spans="14:22" x14ac:dyDescent="0.2">
      <c r="N1007" s="5"/>
      <c r="O1007" s="5"/>
      <c r="P1007" s="5"/>
      <c r="Q1007" s="5"/>
      <c r="R1007" s="5"/>
      <c r="S1007" s="5"/>
      <c r="T1007" s="5"/>
      <c r="U1007" s="5"/>
      <c r="V1007" s="5"/>
    </row>
    <row r="1008" spans="14:22" x14ac:dyDescent="0.2">
      <c r="N1008" s="5"/>
      <c r="O1008" s="5"/>
      <c r="P1008" s="5"/>
      <c r="Q1008" s="5"/>
      <c r="R1008" s="5"/>
      <c r="S1008" s="5"/>
      <c r="T1008" s="5"/>
      <c r="U1008" s="5"/>
      <c r="V1008" s="5"/>
    </row>
    <row r="1009" spans="14:22" x14ac:dyDescent="0.2">
      <c r="N1009" s="5"/>
      <c r="O1009" s="5"/>
      <c r="P1009" s="5"/>
      <c r="Q1009" s="5"/>
      <c r="R1009" s="5"/>
      <c r="S1009" s="5"/>
      <c r="T1009" s="5"/>
      <c r="U1009" s="5"/>
      <c r="V1009" s="5"/>
    </row>
    <row r="1010" spans="14:22" x14ac:dyDescent="0.2">
      <c r="N1010" s="5"/>
      <c r="O1010" s="5"/>
      <c r="P1010" s="5"/>
      <c r="Q1010" s="5"/>
      <c r="R1010" s="5"/>
      <c r="S1010" s="5"/>
      <c r="T1010" s="5"/>
      <c r="U1010" s="5"/>
      <c r="V1010" s="5"/>
    </row>
    <row r="1011" spans="14:22" x14ac:dyDescent="0.2">
      <c r="N1011" s="5"/>
      <c r="O1011" s="5"/>
      <c r="P1011" s="5"/>
      <c r="Q1011" s="5"/>
      <c r="R1011" s="5"/>
      <c r="S1011" s="5"/>
      <c r="T1011" s="5"/>
      <c r="U1011" s="5"/>
      <c r="V1011" s="5"/>
    </row>
    <row r="1012" spans="14:22" x14ac:dyDescent="0.2">
      <c r="N1012" s="5"/>
      <c r="O1012" s="5"/>
      <c r="P1012" s="5"/>
      <c r="Q1012" s="5"/>
      <c r="R1012" s="5"/>
      <c r="S1012" s="5"/>
      <c r="T1012" s="5"/>
      <c r="U1012" s="5"/>
      <c r="V1012" s="5"/>
    </row>
    <row r="1013" spans="14:22" x14ac:dyDescent="0.2">
      <c r="N1013" s="5"/>
      <c r="O1013" s="5"/>
      <c r="P1013" s="5"/>
      <c r="Q1013" s="5"/>
      <c r="R1013" s="5"/>
      <c r="S1013" s="5"/>
      <c r="T1013" s="5"/>
      <c r="U1013" s="5"/>
      <c r="V1013" s="5"/>
    </row>
    <row r="1014" spans="14:22" x14ac:dyDescent="0.2">
      <c r="N1014" s="5"/>
      <c r="O1014" s="5"/>
      <c r="P1014" s="5"/>
      <c r="Q1014" s="5"/>
      <c r="R1014" s="5"/>
      <c r="S1014" s="5"/>
      <c r="T1014" s="5"/>
      <c r="U1014" s="5"/>
      <c r="V1014" s="5"/>
    </row>
    <row r="1015" spans="14:22" x14ac:dyDescent="0.2">
      <c r="N1015" s="5"/>
      <c r="O1015" s="5"/>
      <c r="P1015" s="5"/>
      <c r="Q1015" s="5"/>
      <c r="R1015" s="5"/>
      <c r="S1015" s="5"/>
      <c r="T1015" s="5"/>
      <c r="U1015" s="5"/>
      <c r="V1015" s="5"/>
    </row>
    <row r="1016" spans="14:22" x14ac:dyDescent="0.2">
      <c r="N1016" s="5"/>
      <c r="O1016" s="5"/>
      <c r="P1016" s="5"/>
      <c r="Q1016" s="5"/>
      <c r="R1016" s="5"/>
      <c r="S1016" s="5"/>
      <c r="T1016" s="5"/>
      <c r="U1016" s="5"/>
      <c r="V1016" s="5"/>
    </row>
    <row r="1017" spans="14:22" x14ac:dyDescent="0.2">
      <c r="N1017" s="5"/>
      <c r="O1017" s="5"/>
      <c r="P1017" s="5"/>
      <c r="Q1017" s="5"/>
      <c r="R1017" s="5"/>
      <c r="S1017" s="5"/>
      <c r="T1017" s="5"/>
      <c r="U1017" s="5"/>
      <c r="V1017" s="5"/>
    </row>
    <row r="1018" spans="14:22" x14ac:dyDescent="0.2">
      <c r="N1018" s="5"/>
      <c r="O1018" s="5"/>
      <c r="P1018" s="5"/>
      <c r="Q1018" s="5"/>
      <c r="R1018" s="5"/>
      <c r="S1018" s="5"/>
      <c r="T1018" s="5"/>
      <c r="U1018" s="5"/>
      <c r="V1018" s="5"/>
    </row>
    <row r="1019" spans="14:22" x14ac:dyDescent="0.2">
      <c r="N1019" s="5"/>
      <c r="O1019" s="5"/>
      <c r="P1019" s="5"/>
      <c r="Q1019" s="5"/>
      <c r="R1019" s="5"/>
      <c r="S1019" s="5"/>
      <c r="T1019" s="5"/>
      <c r="U1019" s="5"/>
      <c r="V1019" s="5"/>
    </row>
    <row r="1020" spans="14:22" x14ac:dyDescent="0.2">
      <c r="N1020" s="5"/>
      <c r="O1020" s="5"/>
      <c r="P1020" s="5"/>
      <c r="Q1020" s="5"/>
      <c r="R1020" s="5"/>
      <c r="S1020" s="5"/>
      <c r="T1020" s="5"/>
      <c r="U1020" s="5"/>
      <c r="V1020" s="5"/>
    </row>
    <row r="1021" spans="14:22" x14ac:dyDescent="0.2">
      <c r="N1021" s="5"/>
      <c r="O1021" s="5"/>
      <c r="P1021" s="5"/>
      <c r="Q1021" s="5"/>
      <c r="R1021" s="5"/>
      <c r="S1021" s="5"/>
      <c r="T1021" s="5"/>
      <c r="U1021" s="5"/>
      <c r="V1021" s="5"/>
    </row>
    <row r="1022" spans="14:22" x14ac:dyDescent="0.2">
      <c r="N1022" s="5"/>
      <c r="O1022" s="5"/>
      <c r="P1022" s="5"/>
      <c r="Q1022" s="5"/>
      <c r="R1022" s="5"/>
      <c r="S1022" s="5"/>
      <c r="T1022" s="5"/>
      <c r="U1022" s="5"/>
      <c r="V1022" s="5"/>
    </row>
    <row r="1023" spans="14:22" x14ac:dyDescent="0.2">
      <c r="N1023" s="5"/>
      <c r="O1023" s="5"/>
      <c r="P1023" s="5"/>
      <c r="Q1023" s="5"/>
      <c r="R1023" s="5"/>
      <c r="S1023" s="5"/>
      <c r="T1023" s="5"/>
      <c r="U1023" s="5"/>
      <c r="V1023" s="5"/>
    </row>
    <row r="1024" spans="14:22" x14ac:dyDescent="0.2">
      <c r="N1024" s="5"/>
      <c r="O1024" s="5"/>
      <c r="P1024" s="5"/>
      <c r="Q1024" s="5"/>
      <c r="R1024" s="5"/>
      <c r="S1024" s="5"/>
      <c r="T1024" s="5"/>
      <c r="U1024" s="5"/>
      <c r="V1024" s="5"/>
    </row>
    <row r="1025" spans="14:22" x14ac:dyDescent="0.2">
      <c r="N1025" s="5"/>
      <c r="O1025" s="5"/>
      <c r="P1025" s="5"/>
      <c r="Q1025" s="5"/>
      <c r="R1025" s="5"/>
      <c r="S1025" s="5"/>
      <c r="T1025" s="5"/>
      <c r="U1025" s="5"/>
      <c r="V1025" s="5"/>
    </row>
    <row r="1026" spans="14:22" x14ac:dyDescent="0.2">
      <c r="N1026" s="5"/>
      <c r="O1026" s="5"/>
      <c r="P1026" s="5"/>
      <c r="Q1026" s="5"/>
      <c r="R1026" s="5"/>
      <c r="S1026" s="5"/>
      <c r="T1026" s="5"/>
      <c r="U1026" s="5"/>
      <c r="V1026" s="5"/>
    </row>
    <row r="1027" spans="14:22" x14ac:dyDescent="0.2">
      <c r="N1027" s="5"/>
      <c r="O1027" s="5"/>
      <c r="P1027" s="5"/>
      <c r="Q1027" s="5"/>
      <c r="R1027" s="5"/>
      <c r="S1027" s="5"/>
      <c r="T1027" s="5"/>
      <c r="U1027" s="5"/>
      <c r="V1027" s="5"/>
    </row>
    <row r="1028" spans="14:22" x14ac:dyDescent="0.2">
      <c r="N1028" s="5"/>
      <c r="O1028" s="5"/>
      <c r="P1028" s="5"/>
      <c r="Q1028" s="5"/>
      <c r="R1028" s="5"/>
      <c r="S1028" s="5"/>
      <c r="T1028" s="5"/>
      <c r="U1028" s="5"/>
      <c r="V1028" s="5"/>
    </row>
    <row r="1029" spans="14:22" x14ac:dyDescent="0.2">
      <c r="N1029" s="5"/>
      <c r="O1029" s="5"/>
      <c r="P1029" s="5"/>
      <c r="Q1029" s="5"/>
      <c r="R1029" s="5"/>
      <c r="S1029" s="5"/>
      <c r="T1029" s="5"/>
      <c r="U1029" s="5"/>
      <c r="V1029" s="5"/>
    </row>
    <row r="1030" spans="14:22" x14ac:dyDescent="0.2">
      <c r="N1030" s="5"/>
      <c r="O1030" s="5"/>
      <c r="P1030" s="5"/>
      <c r="Q1030" s="5"/>
      <c r="R1030" s="5"/>
      <c r="S1030" s="5"/>
      <c r="T1030" s="5"/>
      <c r="U1030" s="5"/>
      <c r="V1030" s="5"/>
    </row>
    <row r="1031" spans="14:22" x14ac:dyDescent="0.2">
      <c r="N1031" s="5"/>
      <c r="O1031" s="5"/>
      <c r="P1031" s="5"/>
      <c r="Q1031" s="5"/>
      <c r="R1031" s="5"/>
      <c r="S1031" s="5"/>
      <c r="T1031" s="5"/>
      <c r="U1031" s="5"/>
      <c r="V1031" s="5"/>
    </row>
    <row r="1032" spans="14:22" x14ac:dyDescent="0.2">
      <c r="N1032" s="5"/>
      <c r="O1032" s="5"/>
      <c r="P1032" s="5"/>
      <c r="Q1032" s="5"/>
      <c r="R1032" s="5"/>
      <c r="S1032" s="5"/>
      <c r="T1032" s="5"/>
      <c r="U1032" s="5"/>
      <c r="V1032" s="5"/>
    </row>
    <row r="1033" spans="14:22" x14ac:dyDescent="0.2">
      <c r="N1033" s="5"/>
      <c r="O1033" s="5"/>
      <c r="P1033" s="5"/>
      <c r="Q1033" s="5"/>
      <c r="R1033" s="5"/>
      <c r="S1033" s="5"/>
      <c r="T1033" s="5"/>
      <c r="U1033" s="5"/>
      <c r="V1033" s="5"/>
    </row>
    <row r="1034" spans="14:22" x14ac:dyDescent="0.2">
      <c r="N1034" s="5"/>
      <c r="O1034" s="5"/>
      <c r="P1034" s="5"/>
      <c r="Q1034" s="5"/>
      <c r="R1034" s="5"/>
      <c r="S1034" s="5"/>
      <c r="T1034" s="5"/>
      <c r="U1034" s="5"/>
      <c r="V1034" s="5"/>
    </row>
    <row r="1035" spans="14:22" x14ac:dyDescent="0.2">
      <c r="N1035" s="5"/>
      <c r="O1035" s="5"/>
      <c r="P1035" s="5"/>
      <c r="Q1035" s="5"/>
      <c r="R1035" s="5"/>
      <c r="S1035" s="5"/>
      <c r="T1035" s="5"/>
      <c r="U1035" s="5"/>
      <c r="V1035" s="5"/>
    </row>
    <row r="1036" spans="14:22" x14ac:dyDescent="0.2">
      <c r="N1036" s="5"/>
      <c r="O1036" s="5"/>
      <c r="P1036" s="5"/>
      <c r="Q1036" s="5"/>
      <c r="R1036" s="5"/>
      <c r="S1036" s="5"/>
      <c r="T1036" s="5"/>
      <c r="U1036" s="5"/>
      <c r="V1036" s="5"/>
    </row>
    <row r="1037" spans="14:22" x14ac:dyDescent="0.2">
      <c r="N1037" s="5"/>
      <c r="O1037" s="5"/>
      <c r="P1037" s="5"/>
      <c r="Q1037" s="5"/>
      <c r="R1037" s="5"/>
      <c r="S1037" s="5"/>
      <c r="T1037" s="5"/>
      <c r="U1037" s="5"/>
      <c r="V1037" s="5"/>
    </row>
    <row r="1038" spans="14:22" x14ac:dyDescent="0.2">
      <c r="N1038" s="5"/>
      <c r="O1038" s="5"/>
      <c r="P1038" s="5"/>
      <c r="Q1038" s="5"/>
      <c r="R1038" s="5"/>
      <c r="S1038" s="5"/>
      <c r="T1038" s="5"/>
      <c r="U1038" s="5"/>
      <c r="V1038" s="5"/>
    </row>
    <row r="1039" spans="14:22" x14ac:dyDescent="0.2">
      <c r="N1039" s="5"/>
      <c r="O1039" s="5"/>
      <c r="P1039" s="5"/>
      <c r="Q1039" s="5"/>
      <c r="R1039" s="5"/>
      <c r="S1039" s="5"/>
      <c r="T1039" s="5"/>
      <c r="U1039" s="5"/>
      <c r="V1039" s="5"/>
    </row>
    <row r="1040" spans="14:22" x14ac:dyDescent="0.2">
      <c r="N1040" s="5"/>
      <c r="O1040" s="5"/>
      <c r="P1040" s="5"/>
      <c r="Q1040" s="5"/>
      <c r="R1040" s="5"/>
      <c r="S1040" s="5"/>
      <c r="T1040" s="5"/>
      <c r="U1040" s="5"/>
      <c r="V1040" s="5"/>
    </row>
    <row r="1041" spans="14:22" x14ac:dyDescent="0.2">
      <c r="N1041" s="5"/>
      <c r="O1041" s="5"/>
      <c r="P1041" s="5"/>
      <c r="Q1041" s="5"/>
      <c r="R1041" s="5"/>
      <c r="S1041" s="5"/>
      <c r="T1041" s="5"/>
      <c r="U1041" s="5"/>
      <c r="V1041" s="5"/>
    </row>
    <row r="1042" spans="14:22" x14ac:dyDescent="0.2">
      <c r="N1042" s="5"/>
      <c r="O1042" s="5"/>
      <c r="P1042" s="5"/>
      <c r="Q1042" s="5"/>
      <c r="R1042" s="5"/>
      <c r="S1042" s="5"/>
      <c r="T1042" s="5"/>
      <c r="U1042" s="5"/>
      <c r="V1042" s="5"/>
    </row>
    <row r="1043" spans="14:22" x14ac:dyDescent="0.2">
      <c r="N1043" s="5"/>
      <c r="O1043" s="5"/>
      <c r="P1043" s="5"/>
      <c r="Q1043" s="5"/>
      <c r="R1043" s="5"/>
      <c r="S1043" s="5"/>
      <c r="T1043" s="5"/>
      <c r="U1043" s="5"/>
      <c r="V1043" s="5"/>
    </row>
    <row r="1044" spans="14:22" x14ac:dyDescent="0.2">
      <c r="N1044" s="5"/>
      <c r="O1044" s="5"/>
      <c r="P1044" s="5"/>
      <c r="Q1044" s="5"/>
      <c r="R1044" s="5"/>
      <c r="S1044" s="5"/>
      <c r="T1044" s="5"/>
      <c r="U1044" s="5"/>
      <c r="V1044" s="5"/>
    </row>
    <row r="1045" spans="14:22" x14ac:dyDescent="0.2">
      <c r="N1045" s="5"/>
      <c r="O1045" s="5"/>
      <c r="P1045" s="5"/>
      <c r="Q1045" s="5"/>
      <c r="R1045" s="5"/>
      <c r="S1045" s="5"/>
      <c r="T1045" s="5"/>
      <c r="U1045" s="5"/>
      <c r="V1045" s="5"/>
    </row>
    <row r="1046" spans="14:22" x14ac:dyDescent="0.2">
      <c r="N1046" s="5"/>
      <c r="O1046" s="5"/>
      <c r="P1046" s="5"/>
      <c r="Q1046" s="5"/>
      <c r="R1046" s="5"/>
      <c r="S1046" s="5"/>
      <c r="T1046" s="5"/>
      <c r="U1046" s="5"/>
      <c r="V1046" s="5"/>
    </row>
    <row r="1047" spans="14:22" x14ac:dyDescent="0.2">
      <c r="N1047" s="5"/>
      <c r="O1047" s="5"/>
      <c r="P1047" s="5"/>
      <c r="Q1047" s="5"/>
      <c r="R1047" s="5"/>
      <c r="S1047" s="5"/>
      <c r="T1047" s="5"/>
      <c r="U1047" s="5"/>
      <c r="V1047" s="5"/>
    </row>
    <row r="1048" spans="14:22" x14ac:dyDescent="0.2">
      <c r="N1048" s="5"/>
      <c r="O1048" s="5"/>
      <c r="P1048" s="5"/>
      <c r="Q1048" s="5"/>
      <c r="R1048" s="5"/>
      <c r="S1048" s="5"/>
      <c r="T1048" s="5"/>
      <c r="U1048" s="5"/>
      <c r="V1048" s="5"/>
    </row>
    <row r="1049" spans="14:22" x14ac:dyDescent="0.2">
      <c r="N1049" s="5"/>
      <c r="O1049" s="5"/>
      <c r="P1049" s="5"/>
      <c r="Q1049" s="5"/>
      <c r="R1049" s="5"/>
      <c r="S1049" s="5"/>
      <c r="T1049" s="5"/>
      <c r="U1049" s="5"/>
      <c r="V1049" s="5"/>
    </row>
    <row r="1050" spans="14:22" x14ac:dyDescent="0.2">
      <c r="N1050" s="5"/>
      <c r="O1050" s="5"/>
      <c r="P1050" s="5"/>
      <c r="Q1050" s="5"/>
      <c r="R1050" s="5"/>
      <c r="S1050" s="5"/>
      <c r="T1050" s="5"/>
      <c r="U1050" s="5"/>
      <c r="V1050" s="5"/>
    </row>
    <row r="1051" spans="14:22" x14ac:dyDescent="0.2">
      <c r="N1051" s="5"/>
      <c r="O1051" s="5"/>
      <c r="P1051" s="5"/>
      <c r="Q1051" s="5"/>
      <c r="R1051" s="5"/>
      <c r="S1051" s="5"/>
      <c r="T1051" s="5"/>
      <c r="U1051" s="5"/>
      <c r="V1051" s="5"/>
    </row>
    <row r="1052" spans="14:22" x14ac:dyDescent="0.2">
      <c r="N1052" s="5"/>
      <c r="O1052" s="5"/>
      <c r="P1052" s="5"/>
      <c r="Q1052" s="5"/>
      <c r="R1052" s="5"/>
      <c r="S1052" s="5"/>
      <c r="T1052" s="5"/>
      <c r="U1052" s="5"/>
      <c r="V1052" s="5"/>
    </row>
    <row r="1053" spans="14:22" x14ac:dyDescent="0.2">
      <c r="N1053" s="5"/>
      <c r="O1053" s="5"/>
      <c r="P1053" s="5"/>
      <c r="Q1053" s="5"/>
      <c r="R1053" s="5"/>
      <c r="S1053" s="5"/>
      <c r="T1053" s="5"/>
      <c r="U1053" s="5"/>
      <c r="V1053" s="5"/>
    </row>
    <row r="1054" spans="14:22" x14ac:dyDescent="0.2">
      <c r="N1054" s="5"/>
      <c r="O1054" s="5"/>
      <c r="P1054" s="5"/>
      <c r="Q1054" s="5"/>
      <c r="R1054" s="5"/>
      <c r="S1054" s="5"/>
      <c r="T1054" s="5"/>
      <c r="U1054" s="5"/>
      <c r="V1054" s="5"/>
    </row>
    <row r="1055" spans="14:22" x14ac:dyDescent="0.2">
      <c r="N1055" s="5"/>
      <c r="O1055" s="5"/>
      <c r="P1055" s="5"/>
      <c r="Q1055" s="5"/>
      <c r="R1055" s="5"/>
      <c r="S1055" s="5"/>
      <c r="T1055" s="5"/>
      <c r="U1055" s="5"/>
      <c r="V1055" s="5"/>
    </row>
    <row r="1056" spans="14:22" x14ac:dyDescent="0.2">
      <c r="N1056" s="5"/>
      <c r="O1056" s="5"/>
      <c r="P1056" s="5"/>
      <c r="Q1056" s="5"/>
      <c r="R1056" s="5"/>
      <c r="S1056" s="5"/>
      <c r="T1056" s="5"/>
      <c r="U1056" s="5"/>
      <c r="V1056" s="5"/>
    </row>
    <row r="1057" spans="14:22" x14ac:dyDescent="0.2">
      <c r="N1057" s="5"/>
      <c r="O1057" s="5"/>
      <c r="P1057" s="5"/>
      <c r="Q1057" s="5"/>
      <c r="R1057" s="5"/>
      <c r="S1057" s="5"/>
      <c r="T1057" s="5"/>
      <c r="U1057" s="5"/>
      <c r="V1057" s="5"/>
    </row>
    <row r="1058" spans="14:22" x14ac:dyDescent="0.2">
      <c r="N1058" s="5"/>
      <c r="O1058" s="5"/>
      <c r="P1058" s="5"/>
      <c r="Q1058" s="5"/>
      <c r="R1058" s="5"/>
      <c r="S1058" s="5"/>
      <c r="T1058" s="5"/>
      <c r="U1058" s="5"/>
      <c r="V1058" s="5"/>
    </row>
    <row r="1059" spans="14:22" x14ac:dyDescent="0.2">
      <c r="N1059" s="5"/>
      <c r="O1059" s="5"/>
      <c r="P1059" s="5"/>
      <c r="Q1059" s="5"/>
      <c r="R1059" s="5"/>
      <c r="S1059" s="5"/>
      <c r="T1059" s="5"/>
      <c r="U1059" s="5"/>
      <c r="V1059" s="5"/>
    </row>
    <row r="1060" spans="14:22" x14ac:dyDescent="0.2">
      <c r="N1060" s="5"/>
      <c r="O1060" s="5"/>
      <c r="P1060" s="5"/>
      <c r="Q1060" s="5"/>
      <c r="R1060" s="5"/>
      <c r="S1060" s="5"/>
      <c r="T1060" s="5"/>
      <c r="U1060" s="5"/>
      <c r="V1060" s="5"/>
    </row>
    <row r="1061" spans="14:22" x14ac:dyDescent="0.2">
      <c r="N1061" s="5"/>
      <c r="O1061" s="5"/>
      <c r="P1061" s="5"/>
      <c r="Q1061" s="5"/>
      <c r="R1061" s="5"/>
      <c r="S1061" s="5"/>
      <c r="T1061" s="5"/>
      <c r="U1061" s="5"/>
      <c r="V1061" s="5"/>
    </row>
    <row r="1062" spans="14:22" x14ac:dyDescent="0.2">
      <c r="N1062" s="5"/>
      <c r="O1062" s="5"/>
      <c r="P1062" s="5"/>
      <c r="Q1062" s="5"/>
      <c r="R1062" s="5"/>
      <c r="S1062" s="5"/>
      <c r="T1062" s="5"/>
      <c r="U1062" s="5"/>
      <c r="V1062" s="5"/>
    </row>
    <row r="1063" spans="14:22" x14ac:dyDescent="0.2">
      <c r="N1063" s="5"/>
      <c r="O1063" s="5"/>
      <c r="P1063" s="5"/>
      <c r="Q1063" s="5"/>
      <c r="R1063" s="5"/>
      <c r="S1063" s="5"/>
      <c r="T1063" s="5"/>
      <c r="U1063" s="5"/>
      <c r="V1063" s="5"/>
    </row>
    <row r="1064" spans="14:22" x14ac:dyDescent="0.2">
      <c r="N1064" s="5"/>
      <c r="O1064" s="5"/>
      <c r="P1064" s="5"/>
      <c r="Q1064" s="5"/>
      <c r="R1064" s="5"/>
      <c r="S1064" s="5"/>
      <c r="T1064" s="5"/>
      <c r="U1064" s="5"/>
      <c r="V1064" s="5"/>
    </row>
    <row r="1065" spans="14:22" x14ac:dyDescent="0.2">
      <c r="N1065" s="5"/>
      <c r="O1065" s="5"/>
      <c r="P1065" s="5"/>
      <c r="Q1065" s="5"/>
      <c r="R1065" s="5"/>
      <c r="S1065" s="5"/>
      <c r="T1065" s="5"/>
      <c r="U1065" s="5"/>
      <c r="V1065" s="5"/>
    </row>
    <row r="1066" spans="14:22" x14ac:dyDescent="0.2">
      <c r="N1066" s="5"/>
      <c r="O1066" s="5"/>
      <c r="P1066" s="5"/>
      <c r="Q1066" s="5"/>
      <c r="R1066" s="5"/>
      <c r="S1066" s="5"/>
      <c r="T1066" s="5"/>
      <c r="U1066" s="5"/>
      <c r="V1066" s="5"/>
    </row>
    <row r="1067" spans="14:22" x14ac:dyDescent="0.2">
      <c r="N1067" s="5"/>
      <c r="O1067" s="5"/>
      <c r="P1067" s="5"/>
      <c r="Q1067" s="5"/>
      <c r="R1067" s="5"/>
      <c r="S1067" s="5"/>
      <c r="T1067" s="5"/>
      <c r="U1067" s="5"/>
      <c r="V1067" s="5"/>
    </row>
    <row r="1068" spans="14:22" x14ac:dyDescent="0.2">
      <c r="N1068" s="5"/>
      <c r="O1068" s="5"/>
      <c r="P1068" s="5"/>
      <c r="Q1068" s="5"/>
      <c r="R1068" s="5"/>
      <c r="S1068" s="5"/>
      <c r="T1068" s="5"/>
      <c r="U1068" s="5"/>
      <c r="V1068" s="5"/>
    </row>
    <row r="1069" spans="14:22" x14ac:dyDescent="0.2">
      <c r="N1069" s="5"/>
      <c r="O1069" s="5"/>
      <c r="P1069" s="5"/>
      <c r="Q1069" s="5"/>
      <c r="R1069" s="5"/>
      <c r="S1069" s="5"/>
      <c r="T1069" s="5"/>
      <c r="U1069" s="5"/>
      <c r="V1069" s="5"/>
    </row>
    <row r="1070" spans="14:22" x14ac:dyDescent="0.2">
      <c r="N1070" s="5"/>
      <c r="O1070" s="5"/>
      <c r="P1070" s="5"/>
      <c r="Q1070" s="5"/>
      <c r="R1070" s="5"/>
      <c r="S1070" s="5"/>
      <c r="T1070" s="5"/>
      <c r="U1070" s="5"/>
      <c r="V1070" s="5"/>
    </row>
    <row r="1071" spans="14:22" x14ac:dyDescent="0.2">
      <c r="N1071" s="5"/>
      <c r="O1071" s="5"/>
      <c r="P1071" s="5"/>
      <c r="Q1071" s="5"/>
      <c r="R1071" s="5"/>
      <c r="S1071" s="5"/>
      <c r="T1071" s="5"/>
      <c r="U1071" s="5"/>
      <c r="V1071" s="5"/>
    </row>
    <row r="1072" spans="14:22" x14ac:dyDescent="0.2">
      <c r="N1072" s="5"/>
      <c r="O1072" s="5"/>
      <c r="P1072" s="5"/>
      <c r="Q1072" s="5"/>
      <c r="R1072" s="5"/>
      <c r="S1072" s="5"/>
      <c r="T1072" s="5"/>
      <c r="U1072" s="5"/>
      <c r="V1072" s="5"/>
    </row>
    <row r="1073" spans="14:22" x14ac:dyDescent="0.2">
      <c r="N1073" s="5"/>
      <c r="O1073" s="5"/>
      <c r="P1073" s="5"/>
      <c r="Q1073" s="5"/>
      <c r="R1073" s="5"/>
      <c r="S1073" s="5"/>
      <c r="T1073" s="5"/>
      <c r="U1073" s="5"/>
      <c r="V1073" s="5"/>
    </row>
    <row r="1074" spans="14:22" x14ac:dyDescent="0.2">
      <c r="N1074" s="5"/>
      <c r="O1074" s="5"/>
      <c r="P1074" s="5"/>
      <c r="Q1074" s="5"/>
      <c r="R1074" s="5"/>
      <c r="S1074" s="5"/>
      <c r="T1074" s="5"/>
      <c r="U1074" s="5"/>
      <c r="V1074" s="5"/>
    </row>
    <row r="1075" spans="14:22" x14ac:dyDescent="0.2">
      <c r="N1075" s="5"/>
      <c r="O1075" s="5"/>
      <c r="P1075" s="5"/>
      <c r="Q1075" s="5"/>
      <c r="R1075" s="5"/>
      <c r="S1075" s="5"/>
      <c r="T1075" s="5"/>
      <c r="U1075" s="5"/>
      <c r="V1075" s="5"/>
    </row>
    <row r="1076" spans="14:22" x14ac:dyDescent="0.2">
      <c r="N1076" s="5"/>
      <c r="O1076" s="5"/>
      <c r="P1076" s="5"/>
      <c r="Q1076" s="5"/>
      <c r="R1076" s="5"/>
      <c r="S1076" s="5"/>
      <c r="T1076" s="5"/>
      <c r="U1076" s="5"/>
      <c r="V1076" s="5"/>
    </row>
    <row r="1077" spans="14:22" x14ac:dyDescent="0.2">
      <c r="N1077" s="5"/>
      <c r="O1077" s="5"/>
      <c r="P1077" s="5"/>
      <c r="Q1077" s="5"/>
      <c r="R1077" s="5"/>
      <c r="S1077" s="5"/>
      <c r="T1077" s="5"/>
      <c r="U1077" s="5"/>
      <c r="V1077" s="5"/>
    </row>
    <row r="1078" spans="14:22" x14ac:dyDescent="0.2">
      <c r="N1078" s="5"/>
      <c r="O1078" s="5"/>
      <c r="P1078" s="5"/>
      <c r="Q1078" s="5"/>
      <c r="R1078" s="5"/>
      <c r="S1078" s="5"/>
      <c r="T1078" s="5"/>
      <c r="U1078" s="5"/>
      <c r="V1078" s="5"/>
    </row>
    <row r="1079" spans="14:22" x14ac:dyDescent="0.2">
      <c r="N1079" s="5"/>
      <c r="O1079" s="5"/>
      <c r="P1079" s="5"/>
      <c r="Q1079" s="5"/>
      <c r="R1079" s="5"/>
      <c r="S1079" s="5"/>
      <c r="T1079" s="5"/>
      <c r="U1079" s="5"/>
      <c r="V1079" s="5"/>
    </row>
    <row r="1080" spans="14:22" x14ac:dyDescent="0.2">
      <c r="N1080" s="5"/>
      <c r="O1080" s="5"/>
      <c r="P1080" s="5"/>
      <c r="Q1080" s="5"/>
      <c r="R1080" s="5"/>
      <c r="S1080" s="5"/>
      <c r="T1080" s="5"/>
      <c r="U1080" s="5"/>
      <c r="V1080" s="5"/>
    </row>
    <row r="1081" spans="14:22" x14ac:dyDescent="0.2">
      <c r="N1081" s="5"/>
      <c r="O1081" s="5"/>
      <c r="P1081" s="5"/>
      <c r="Q1081" s="5"/>
      <c r="R1081" s="5"/>
      <c r="S1081" s="5"/>
      <c r="T1081" s="5"/>
      <c r="U1081" s="5"/>
      <c r="V1081" s="5"/>
    </row>
    <row r="1082" spans="14:22" x14ac:dyDescent="0.2">
      <c r="N1082" s="5"/>
      <c r="O1082" s="5"/>
      <c r="P1082" s="5"/>
      <c r="Q1082" s="5"/>
      <c r="R1082" s="5"/>
      <c r="S1082" s="5"/>
      <c r="T1082" s="5"/>
      <c r="U1082" s="5"/>
      <c r="V1082" s="5"/>
    </row>
    <row r="1083" spans="14:22" x14ac:dyDescent="0.2">
      <c r="N1083" s="5"/>
      <c r="O1083" s="5"/>
      <c r="P1083" s="5"/>
      <c r="Q1083" s="5"/>
      <c r="R1083" s="5"/>
      <c r="S1083" s="5"/>
      <c r="T1083" s="5"/>
      <c r="U1083" s="5"/>
      <c r="V1083" s="5"/>
    </row>
    <row r="1084" spans="14:22" x14ac:dyDescent="0.2">
      <c r="N1084" s="5"/>
      <c r="O1084" s="5"/>
      <c r="P1084" s="5"/>
      <c r="Q1084" s="5"/>
      <c r="R1084" s="5"/>
      <c r="S1084" s="5"/>
      <c r="T1084" s="5"/>
      <c r="U1084" s="5"/>
      <c r="V1084" s="5"/>
    </row>
    <row r="1085" spans="14:22" x14ac:dyDescent="0.2">
      <c r="N1085" s="5"/>
      <c r="O1085" s="5"/>
      <c r="P1085" s="5"/>
      <c r="Q1085" s="5"/>
      <c r="R1085" s="5"/>
      <c r="S1085" s="5"/>
      <c r="T1085" s="5"/>
      <c r="U1085" s="5"/>
      <c r="V1085" s="5"/>
    </row>
    <row r="1086" spans="14:22" x14ac:dyDescent="0.2">
      <c r="N1086" s="5"/>
      <c r="O1086" s="5"/>
      <c r="P1086" s="5"/>
      <c r="Q1086" s="5"/>
      <c r="R1086" s="5"/>
      <c r="S1086" s="5"/>
      <c r="T1086" s="5"/>
      <c r="U1086" s="5"/>
      <c r="V1086" s="5"/>
    </row>
    <row r="1087" spans="14:22" x14ac:dyDescent="0.2">
      <c r="N1087" s="5"/>
      <c r="O1087" s="5"/>
      <c r="P1087" s="5"/>
      <c r="Q1087" s="5"/>
      <c r="R1087" s="5"/>
      <c r="S1087" s="5"/>
      <c r="T1087" s="5"/>
      <c r="U1087" s="5"/>
      <c r="V1087" s="5"/>
    </row>
    <row r="1088" spans="14:22" x14ac:dyDescent="0.2">
      <c r="N1088" s="5"/>
      <c r="O1088" s="5"/>
      <c r="P1088" s="5"/>
      <c r="Q1088" s="5"/>
      <c r="R1088" s="5"/>
      <c r="S1088" s="5"/>
      <c r="T1088" s="5"/>
      <c r="U1088" s="5"/>
      <c r="V1088" s="5"/>
    </row>
    <row r="1089" spans="14:22" x14ac:dyDescent="0.2">
      <c r="N1089" s="5"/>
      <c r="O1089" s="5"/>
      <c r="P1089" s="5"/>
      <c r="Q1089" s="5"/>
      <c r="R1089" s="5"/>
      <c r="S1089" s="5"/>
      <c r="T1089" s="5"/>
      <c r="U1089" s="5"/>
      <c r="V1089" s="5"/>
    </row>
    <row r="1090" spans="14:22" x14ac:dyDescent="0.2">
      <c r="N1090" s="5"/>
      <c r="O1090" s="5"/>
      <c r="P1090" s="5"/>
      <c r="Q1090" s="5"/>
      <c r="R1090" s="5"/>
      <c r="S1090" s="5"/>
      <c r="T1090" s="5"/>
      <c r="U1090" s="5"/>
      <c r="V1090" s="5"/>
    </row>
    <row r="1091" spans="14:22" x14ac:dyDescent="0.2">
      <c r="N1091" s="5"/>
      <c r="O1091" s="5"/>
      <c r="P1091" s="5"/>
      <c r="Q1091" s="5"/>
      <c r="R1091" s="5"/>
      <c r="S1091" s="5"/>
      <c r="T1091" s="5"/>
      <c r="U1091" s="5"/>
      <c r="V1091" s="5"/>
    </row>
    <row r="1092" spans="14:22" x14ac:dyDescent="0.2">
      <c r="N1092" s="5"/>
      <c r="O1092" s="5"/>
      <c r="P1092" s="5"/>
      <c r="Q1092" s="5"/>
      <c r="R1092" s="5"/>
      <c r="S1092" s="5"/>
      <c r="T1092" s="5"/>
      <c r="U1092" s="5"/>
      <c r="V1092" s="5"/>
    </row>
    <row r="1093" spans="14:22" x14ac:dyDescent="0.2">
      <c r="N1093" s="5"/>
      <c r="O1093" s="5"/>
      <c r="P1093" s="5"/>
      <c r="Q1093" s="5"/>
      <c r="R1093" s="5"/>
      <c r="S1093" s="5"/>
      <c r="T1093" s="5"/>
      <c r="U1093" s="5"/>
      <c r="V1093" s="5"/>
    </row>
    <row r="1094" spans="14:22" x14ac:dyDescent="0.2">
      <c r="N1094" s="5"/>
      <c r="O1094" s="5"/>
      <c r="P1094" s="5"/>
      <c r="Q1094" s="5"/>
      <c r="R1094" s="5"/>
      <c r="S1094" s="5"/>
      <c r="T1094" s="5"/>
      <c r="U1094" s="5"/>
      <c r="V1094" s="5"/>
    </row>
    <row r="1095" spans="14:22" x14ac:dyDescent="0.2">
      <c r="N1095" s="5"/>
      <c r="O1095" s="5"/>
      <c r="P1095" s="5"/>
      <c r="Q1095" s="5"/>
      <c r="R1095" s="5"/>
      <c r="S1095" s="5"/>
      <c r="T1095" s="5"/>
      <c r="U1095" s="5"/>
      <c r="V1095" s="5"/>
    </row>
    <row r="1096" spans="14:22" x14ac:dyDescent="0.2">
      <c r="N1096" s="5"/>
      <c r="O1096" s="5"/>
      <c r="P1096" s="5"/>
      <c r="Q1096" s="5"/>
      <c r="R1096" s="5"/>
      <c r="S1096" s="5"/>
      <c r="T1096" s="5"/>
      <c r="U1096" s="5"/>
      <c r="V1096" s="5"/>
    </row>
    <row r="1097" spans="14:22" x14ac:dyDescent="0.2">
      <c r="N1097" s="5"/>
      <c r="O1097" s="5"/>
      <c r="P1097" s="5"/>
      <c r="Q1097" s="5"/>
      <c r="R1097" s="5"/>
      <c r="S1097" s="5"/>
      <c r="T1097" s="5"/>
      <c r="U1097" s="5"/>
      <c r="V1097" s="5"/>
    </row>
    <row r="1098" spans="14:22" x14ac:dyDescent="0.2">
      <c r="N1098" s="5"/>
      <c r="O1098" s="5"/>
      <c r="P1098" s="5"/>
      <c r="Q1098" s="5"/>
      <c r="R1098" s="5"/>
      <c r="S1098" s="5"/>
      <c r="T1098" s="5"/>
      <c r="U1098" s="5"/>
      <c r="V1098" s="5"/>
    </row>
    <row r="1099" spans="14:22" x14ac:dyDescent="0.2">
      <c r="N1099" s="5"/>
      <c r="O1099" s="5"/>
      <c r="P1099" s="5"/>
      <c r="Q1099" s="5"/>
      <c r="R1099" s="5"/>
      <c r="S1099" s="5"/>
      <c r="T1099" s="5"/>
      <c r="U1099" s="5"/>
      <c r="V1099" s="5"/>
    </row>
    <row r="1100" spans="14:22" x14ac:dyDescent="0.2">
      <c r="N1100" s="5"/>
      <c r="O1100" s="5"/>
      <c r="P1100" s="5"/>
      <c r="Q1100" s="5"/>
      <c r="R1100" s="5"/>
      <c r="S1100" s="5"/>
      <c r="T1100" s="5"/>
      <c r="U1100" s="5"/>
      <c r="V1100" s="5"/>
    </row>
    <row r="1101" spans="14:22" x14ac:dyDescent="0.2">
      <c r="N1101" s="5"/>
      <c r="O1101" s="5"/>
      <c r="P1101" s="5"/>
      <c r="Q1101" s="5"/>
      <c r="R1101" s="5"/>
      <c r="S1101" s="5"/>
      <c r="T1101" s="5"/>
      <c r="U1101" s="5"/>
      <c r="V1101" s="5"/>
    </row>
    <row r="1102" spans="14:22" x14ac:dyDescent="0.2">
      <c r="N1102" s="5"/>
      <c r="O1102" s="5"/>
      <c r="P1102" s="5"/>
      <c r="Q1102" s="5"/>
      <c r="R1102" s="5"/>
      <c r="S1102" s="5"/>
      <c r="T1102" s="5"/>
      <c r="U1102" s="5"/>
      <c r="V1102" s="5"/>
    </row>
    <row r="1103" spans="14:22" x14ac:dyDescent="0.2">
      <c r="N1103" s="5"/>
      <c r="O1103" s="5"/>
      <c r="P1103" s="5"/>
      <c r="Q1103" s="5"/>
      <c r="R1103" s="5"/>
      <c r="S1103" s="5"/>
      <c r="T1103" s="5"/>
      <c r="U1103" s="5"/>
      <c r="V1103" s="5"/>
    </row>
    <row r="1104" spans="14:22" x14ac:dyDescent="0.2">
      <c r="N1104" s="5"/>
      <c r="O1104" s="5"/>
      <c r="P1104" s="5"/>
      <c r="Q1104" s="5"/>
      <c r="R1104" s="5"/>
      <c r="S1104" s="5"/>
      <c r="T1104" s="5"/>
      <c r="U1104" s="5"/>
      <c r="V1104" s="5"/>
    </row>
    <row r="1105" spans="14:22" x14ac:dyDescent="0.2">
      <c r="N1105" s="5"/>
      <c r="O1105" s="5"/>
      <c r="P1105" s="5"/>
      <c r="Q1105" s="5"/>
      <c r="R1105" s="5"/>
      <c r="S1105" s="5"/>
      <c r="T1105" s="5"/>
      <c r="U1105" s="5"/>
      <c r="V1105" s="5"/>
    </row>
    <row r="1106" spans="14:22" x14ac:dyDescent="0.2">
      <c r="N1106" s="5"/>
      <c r="O1106" s="5"/>
      <c r="P1106" s="5"/>
      <c r="Q1106" s="5"/>
      <c r="R1106" s="5"/>
      <c r="S1106" s="5"/>
      <c r="T1106" s="5"/>
      <c r="U1106" s="5"/>
      <c r="V1106" s="5"/>
    </row>
    <row r="1107" spans="14:22" x14ac:dyDescent="0.2">
      <c r="N1107" s="5"/>
      <c r="O1107" s="5"/>
      <c r="P1107" s="5"/>
      <c r="Q1107" s="5"/>
      <c r="R1107" s="5"/>
      <c r="S1107" s="5"/>
      <c r="T1107" s="5"/>
      <c r="U1107" s="5"/>
      <c r="V1107" s="5"/>
    </row>
    <row r="1108" spans="14:22" x14ac:dyDescent="0.2">
      <c r="N1108" s="5"/>
      <c r="O1108" s="5"/>
      <c r="P1108" s="5"/>
      <c r="Q1108" s="5"/>
      <c r="R1108" s="5"/>
      <c r="S1108" s="5"/>
      <c r="T1108" s="5"/>
      <c r="U1108" s="5"/>
      <c r="V1108" s="5"/>
    </row>
    <row r="1109" spans="14:22" x14ac:dyDescent="0.2">
      <c r="N1109" s="5"/>
      <c r="O1109" s="5"/>
      <c r="P1109" s="5"/>
      <c r="Q1109" s="5"/>
      <c r="R1109" s="5"/>
      <c r="S1109" s="5"/>
      <c r="T1109" s="5"/>
      <c r="U1109" s="5"/>
      <c r="V1109" s="5"/>
    </row>
    <row r="1110" spans="14:22" x14ac:dyDescent="0.2">
      <c r="N1110" s="5"/>
      <c r="O1110" s="5"/>
      <c r="P1110" s="5"/>
      <c r="Q1110" s="5"/>
      <c r="R1110" s="5"/>
      <c r="S1110" s="5"/>
      <c r="T1110" s="5"/>
      <c r="U1110" s="5"/>
      <c r="V1110" s="5"/>
    </row>
    <row r="1111" spans="14:22" x14ac:dyDescent="0.2">
      <c r="N1111" s="5"/>
      <c r="O1111" s="5"/>
      <c r="P1111" s="5"/>
      <c r="Q1111" s="5"/>
      <c r="R1111" s="5"/>
      <c r="S1111" s="5"/>
      <c r="T1111" s="5"/>
      <c r="U1111" s="5"/>
      <c r="V1111" s="5"/>
    </row>
    <row r="1112" spans="14:22" x14ac:dyDescent="0.2">
      <c r="N1112" s="5"/>
      <c r="O1112" s="5"/>
      <c r="P1112" s="5"/>
      <c r="Q1112" s="5"/>
      <c r="R1112" s="5"/>
      <c r="S1112" s="5"/>
      <c r="T1112" s="5"/>
      <c r="U1112" s="5"/>
      <c r="V1112" s="5"/>
    </row>
    <row r="1113" spans="14:22" x14ac:dyDescent="0.2">
      <c r="N1113" s="5"/>
      <c r="O1113" s="5"/>
      <c r="P1113" s="5"/>
      <c r="Q1113" s="5"/>
      <c r="R1113" s="5"/>
      <c r="S1113" s="5"/>
      <c r="T1113" s="5"/>
      <c r="U1113" s="5"/>
      <c r="V1113" s="5"/>
    </row>
    <row r="1114" spans="14:22" x14ac:dyDescent="0.2">
      <c r="N1114" s="5"/>
      <c r="O1114" s="5"/>
      <c r="P1114" s="5"/>
      <c r="Q1114" s="5"/>
      <c r="R1114" s="5"/>
      <c r="S1114" s="5"/>
      <c r="T1114" s="5"/>
      <c r="U1114" s="5"/>
      <c r="V1114" s="5"/>
    </row>
    <row r="1115" spans="14:22" x14ac:dyDescent="0.2">
      <c r="N1115" s="5"/>
      <c r="O1115" s="5"/>
      <c r="P1115" s="5"/>
      <c r="Q1115" s="5"/>
      <c r="R1115" s="5"/>
      <c r="S1115" s="5"/>
      <c r="T1115" s="5"/>
      <c r="U1115" s="5"/>
      <c r="V1115" s="5"/>
    </row>
    <row r="1116" spans="14:22" x14ac:dyDescent="0.2">
      <c r="N1116" s="5"/>
      <c r="O1116" s="5"/>
      <c r="P1116" s="5"/>
      <c r="Q1116" s="5"/>
      <c r="R1116" s="5"/>
      <c r="S1116" s="5"/>
      <c r="T1116" s="5"/>
      <c r="U1116" s="5"/>
      <c r="V1116" s="5"/>
    </row>
    <row r="1117" spans="14:22" x14ac:dyDescent="0.2">
      <c r="N1117" s="5"/>
      <c r="O1117" s="5"/>
      <c r="P1117" s="5"/>
      <c r="Q1117" s="5"/>
      <c r="R1117" s="5"/>
      <c r="S1117" s="5"/>
      <c r="T1117" s="5"/>
      <c r="U1117" s="5"/>
      <c r="V1117" s="5"/>
    </row>
    <row r="1118" spans="14:22" x14ac:dyDescent="0.2">
      <c r="N1118" s="5"/>
      <c r="O1118" s="5"/>
      <c r="P1118" s="5"/>
      <c r="Q1118" s="5"/>
      <c r="R1118" s="5"/>
      <c r="S1118" s="5"/>
      <c r="T1118" s="302"/>
      <c r="U1118" s="5"/>
      <c r="V1118" s="5"/>
    </row>
    <row r="1119" spans="14:22" x14ac:dyDescent="0.2">
      <c r="N1119" s="5"/>
      <c r="O1119" s="5"/>
      <c r="P1119" s="5"/>
      <c r="Q1119" s="5"/>
      <c r="R1119" s="5"/>
      <c r="S1119" s="5"/>
      <c r="T1119" s="302"/>
      <c r="U1119" s="5"/>
      <c r="V1119" s="5"/>
    </row>
    <row r="1120" spans="14:22" x14ac:dyDescent="0.2">
      <c r="N1120" s="5"/>
      <c r="O1120" s="5"/>
      <c r="P1120" s="5"/>
      <c r="Q1120" s="5"/>
      <c r="R1120" s="5"/>
      <c r="S1120" s="5"/>
      <c r="T1120" s="302"/>
      <c r="U1120" s="5"/>
      <c r="V1120" s="5"/>
    </row>
    <row r="1121" spans="14:22" x14ac:dyDescent="0.2">
      <c r="N1121" s="5"/>
      <c r="O1121" s="5"/>
      <c r="P1121" s="5"/>
      <c r="Q1121" s="5"/>
      <c r="R1121" s="5"/>
      <c r="S1121" s="5"/>
      <c r="T1121" s="302"/>
      <c r="U1121" s="5"/>
      <c r="V1121" s="5"/>
    </row>
    <row r="1122" spans="14:22" x14ac:dyDescent="0.2">
      <c r="N1122" s="5"/>
      <c r="O1122" s="5"/>
      <c r="P1122" s="5"/>
      <c r="Q1122" s="5"/>
      <c r="R1122" s="5"/>
      <c r="S1122" s="5"/>
      <c r="T1122" s="302"/>
      <c r="U1122" s="5"/>
      <c r="V1122" s="5"/>
    </row>
    <row r="1123" spans="14:22" x14ac:dyDescent="0.2">
      <c r="N1123" s="5"/>
      <c r="O1123" s="5"/>
      <c r="P1123" s="5"/>
      <c r="Q1123" s="5"/>
      <c r="R1123" s="5"/>
      <c r="S1123" s="5"/>
      <c r="T1123" s="302"/>
      <c r="U1123" s="5"/>
      <c r="V1123" s="5"/>
    </row>
    <row r="1124" spans="14:22" x14ac:dyDescent="0.2">
      <c r="N1124" s="5"/>
      <c r="O1124" s="5"/>
      <c r="P1124" s="5"/>
      <c r="Q1124" s="5"/>
      <c r="R1124" s="5"/>
      <c r="S1124" s="5"/>
      <c r="T1124" s="302"/>
      <c r="U1124" s="5"/>
      <c r="V1124" s="5"/>
    </row>
    <row r="1125" spans="14:22" x14ac:dyDescent="0.2">
      <c r="N1125" s="5"/>
      <c r="O1125" s="5"/>
      <c r="P1125" s="5"/>
      <c r="Q1125" s="5"/>
      <c r="R1125" s="5"/>
      <c r="S1125" s="5"/>
      <c r="T1125" s="302"/>
      <c r="U1125" s="5"/>
      <c r="V1125" s="5"/>
    </row>
    <row r="1126" spans="14:22" x14ac:dyDescent="0.2">
      <c r="N1126" s="5"/>
      <c r="O1126" s="5"/>
      <c r="P1126" s="5"/>
      <c r="Q1126" s="5"/>
      <c r="R1126" s="5"/>
      <c r="S1126" s="5"/>
      <c r="T1126" s="302"/>
      <c r="U1126" s="5"/>
      <c r="V1126" s="5"/>
    </row>
    <row r="1127" spans="14:22" x14ac:dyDescent="0.2">
      <c r="N1127" s="5"/>
      <c r="O1127" s="5"/>
      <c r="P1127" s="5"/>
      <c r="Q1127" s="5"/>
      <c r="R1127" s="5"/>
      <c r="S1127" s="5"/>
      <c r="T1127" s="302"/>
      <c r="U1127" s="5"/>
      <c r="V1127" s="5"/>
    </row>
    <row r="1128" spans="14:22" x14ac:dyDescent="0.2">
      <c r="N1128" s="5"/>
      <c r="O1128" s="5"/>
      <c r="P1128" s="5"/>
      <c r="Q1128" s="5"/>
      <c r="R1128" s="5"/>
      <c r="S1128" s="5"/>
      <c r="T1128" s="302"/>
      <c r="U1128" s="5"/>
      <c r="V1128" s="5"/>
    </row>
    <row r="1129" spans="14:22" x14ac:dyDescent="0.2">
      <c r="N1129" s="5"/>
      <c r="O1129" s="5"/>
      <c r="P1129" s="5"/>
      <c r="Q1129" s="5"/>
      <c r="R1129" s="5"/>
      <c r="S1129" s="5"/>
      <c r="T1129" s="302"/>
      <c r="U1129" s="5"/>
      <c r="V1129" s="5"/>
    </row>
    <row r="1130" spans="14:22" x14ac:dyDescent="0.2">
      <c r="N1130" s="5"/>
      <c r="O1130" s="5"/>
      <c r="P1130" s="5"/>
      <c r="Q1130" s="5"/>
      <c r="R1130" s="5"/>
      <c r="S1130" s="5"/>
      <c r="T1130" s="302"/>
      <c r="U1130" s="5"/>
      <c r="V1130" s="5"/>
    </row>
    <row r="1131" spans="14:22" x14ac:dyDescent="0.2">
      <c r="N1131" s="5"/>
      <c r="O1131" s="5"/>
      <c r="P1131" s="5"/>
      <c r="Q1131" s="5"/>
      <c r="R1131" s="5"/>
      <c r="S1131" s="5"/>
      <c r="T1131" s="302"/>
      <c r="U1131" s="5"/>
      <c r="V1131" s="5"/>
    </row>
    <row r="1132" spans="14:22" x14ac:dyDescent="0.2">
      <c r="N1132" s="5"/>
      <c r="O1132" s="5"/>
      <c r="P1132" s="5"/>
      <c r="Q1132" s="5"/>
      <c r="R1132" s="5"/>
      <c r="S1132" s="5"/>
      <c r="T1132" s="302"/>
      <c r="U1132" s="5"/>
      <c r="V1132" s="5"/>
    </row>
    <row r="1133" spans="14:22" x14ac:dyDescent="0.2">
      <c r="N1133" s="5"/>
      <c r="O1133" s="5"/>
      <c r="P1133" s="5"/>
      <c r="Q1133" s="5"/>
      <c r="R1133" s="5"/>
      <c r="S1133" s="5"/>
      <c r="T1133" s="302"/>
      <c r="U1133" s="5"/>
      <c r="V1133" s="5"/>
    </row>
    <row r="1134" spans="14:22" x14ac:dyDescent="0.2">
      <c r="N1134" s="5"/>
      <c r="O1134" s="5"/>
      <c r="P1134" s="5"/>
      <c r="Q1134" s="5"/>
      <c r="R1134" s="5"/>
      <c r="S1134" s="5"/>
      <c r="T1134" s="302"/>
      <c r="U1134" s="5"/>
      <c r="V1134" s="5"/>
    </row>
    <row r="1135" spans="14:22" x14ac:dyDescent="0.2">
      <c r="N1135" s="5"/>
      <c r="O1135" s="5"/>
      <c r="P1135" s="5"/>
      <c r="Q1135" s="5"/>
      <c r="R1135" s="5"/>
      <c r="S1135" s="5"/>
      <c r="T1135" s="302"/>
      <c r="U1135" s="5"/>
      <c r="V1135" s="5"/>
    </row>
    <row r="1136" spans="14:22" x14ac:dyDescent="0.2">
      <c r="N1136" s="5"/>
      <c r="O1136" s="5"/>
      <c r="P1136" s="5"/>
      <c r="Q1136" s="5"/>
      <c r="R1136" s="5"/>
      <c r="S1136" s="5"/>
      <c r="T1136" s="302"/>
      <c r="U1136" s="5"/>
      <c r="V1136" s="5"/>
    </row>
    <row r="1137" spans="14:22" x14ac:dyDescent="0.2">
      <c r="N1137" s="5"/>
      <c r="O1137" s="5"/>
      <c r="P1137" s="5"/>
      <c r="Q1137" s="5"/>
      <c r="R1137" s="5"/>
      <c r="S1137" s="5"/>
      <c r="T1137" s="302"/>
      <c r="U1137" s="5"/>
      <c r="V1137" s="5"/>
    </row>
    <row r="1138" spans="14:22" x14ac:dyDescent="0.2">
      <c r="N1138" s="5"/>
      <c r="O1138" s="5"/>
      <c r="P1138" s="5"/>
      <c r="Q1138" s="5"/>
      <c r="R1138" s="5"/>
      <c r="S1138" s="5"/>
      <c r="T1138" s="302"/>
      <c r="U1138" s="5"/>
      <c r="V1138" s="5"/>
    </row>
    <row r="1139" spans="14:22" x14ac:dyDescent="0.2">
      <c r="T1139" s="302"/>
      <c r="U1139" s="5"/>
      <c r="V1139" s="5"/>
    </row>
    <row r="1140" spans="14:22" x14ac:dyDescent="0.2">
      <c r="T1140" s="302"/>
      <c r="U1140" s="5"/>
      <c r="V1140" s="5"/>
    </row>
    <row r="1141" spans="14:22" x14ac:dyDescent="0.2">
      <c r="T1141" s="302"/>
    </row>
    <row r="1142" spans="14:22" x14ac:dyDescent="0.2">
      <c r="T1142" s="302"/>
    </row>
    <row r="1143" spans="14:22" x14ac:dyDescent="0.2">
      <c r="T1143" s="302"/>
    </row>
    <row r="1144" spans="14:22" x14ac:dyDescent="0.2">
      <c r="T1144" s="302"/>
    </row>
    <row r="1145" spans="14:22" x14ac:dyDescent="0.2">
      <c r="T1145" s="302"/>
    </row>
    <row r="1146" spans="14:22" x14ac:dyDescent="0.2">
      <c r="T1146" s="302"/>
    </row>
    <row r="1147" spans="14:22" x14ac:dyDescent="0.2">
      <c r="T1147" s="302"/>
    </row>
    <row r="1148" spans="14:22" x14ac:dyDescent="0.2">
      <c r="T1148" s="302"/>
    </row>
    <row r="1149" spans="14:22" x14ac:dyDescent="0.2">
      <c r="T1149" s="302"/>
    </row>
    <row r="1150" spans="14:22" x14ac:dyDescent="0.2">
      <c r="T1150" s="302"/>
    </row>
    <row r="1151" spans="14:22" x14ac:dyDescent="0.2">
      <c r="T1151" s="302"/>
    </row>
    <row r="1152" spans="14:22" x14ac:dyDescent="0.2">
      <c r="T1152" s="302"/>
    </row>
    <row r="1153" spans="20:20" x14ac:dyDescent="0.2">
      <c r="T1153" s="302"/>
    </row>
    <row r="1154" spans="20:20" x14ac:dyDescent="0.2">
      <c r="T1154" s="302"/>
    </row>
    <row r="1155" spans="20:20" x14ac:dyDescent="0.2">
      <c r="T1155" s="302"/>
    </row>
    <row r="1156" spans="20:20" x14ac:dyDescent="0.2">
      <c r="T1156" s="302"/>
    </row>
    <row r="1157" spans="20:20" x14ac:dyDescent="0.2">
      <c r="T1157" s="302"/>
    </row>
    <row r="1158" spans="20:20" x14ac:dyDescent="0.2">
      <c r="T1158" s="302"/>
    </row>
    <row r="1159" spans="20:20" x14ac:dyDescent="0.2">
      <c r="T1159" s="302"/>
    </row>
    <row r="1160" spans="20:20" x14ac:dyDescent="0.2">
      <c r="T1160" s="302"/>
    </row>
    <row r="1161" spans="20:20" x14ac:dyDescent="0.2">
      <c r="T1161" s="302"/>
    </row>
    <row r="1162" spans="20:20" x14ac:dyDescent="0.2">
      <c r="T1162" s="302"/>
    </row>
    <row r="1163" spans="20:20" x14ac:dyDescent="0.2">
      <c r="T1163" s="302"/>
    </row>
    <row r="1164" spans="20:20" x14ac:dyDescent="0.2">
      <c r="T1164" s="302"/>
    </row>
    <row r="1165" spans="20:20" x14ac:dyDescent="0.2">
      <c r="T1165" s="302"/>
    </row>
    <row r="1166" spans="20:20" x14ac:dyDescent="0.2">
      <c r="T1166" s="302"/>
    </row>
    <row r="1167" spans="20:20" x14ac:dyDescent="0.2">
      <c r="T1167" s="302"/>
    </row>
    <row r="1168" spans="20:20" x14ac:dyDescent="0.2">
      <c r="T1168" s="302"/>
    </row>
    <row r="1169" spans="20:20" x14ac:dyDescent="0.2">
      <c r="T1169" s="302"/>
    </row>
    <row r="1170" spans="20:20" x14ac:dyDescent="0.2">
      <c r="T1170" s="302"/>
    </row>
    <row r="1171" spans="20:20" x14ac:dyDescent="0.2">
      <c r="T1171" s="302"/>
    </row>
    <row r="1172" spans="20:20" x14ac:dyDescent="0.2">
      <c r="T1172" s="302"/>
    </row>
    <row r="1173" spans="20:20" x14ac:dyDescent="0.2">
      <c r="T1173" s="302"/>
    </row>
    <row r="1174" spans="20:20" x14ac:dyDescent="0.2">
      <c r="T1174" s="302"/>
    </row>
  </sheetData>
  <sheetProtection password="CABA" sheet="1" objects="1" scenarios="1"/>
  <mergeCells count="28">
    <mergeCell ref="W2:X2"/>
    <mergeCell ref="H8:I8"/>
    <mergeCell ref="G7:I7"/>
    <mergeCell ref="C6:E6"/>
    <mergeCell ref="C7:E7"/>
    <mergeCell ref="G6:I6"/>
    <mergeCell ref="B1:E1"/>
    <mergeCell ref="C4:E4"/>
    <mergeCell ref="G4:I4"/>
    <mergeCell ref="C5:E5"/>
    <mergeCell ref="G5:I5"/>
    <mergeCell ref="D2:E2"/>
    <mergeCell ref="H3:I3"/>
    <mergeCell ref="B65:I65"/>
    <mergeCell ref="G43:I43"/>
    <mergeCell ref="G47:I47"/>
    <mergeCell ref="H9:I9"/>
    <mergeCell ref="G26:I26"/>
    <mergeCell ref="G27:I27"/>
    <mergeCell ref="P20:Q20"/>
    <mergeCell ref="D8:E8"/>
    <mergeCell ref="G24:I24"/>
    <mergeCell ref="G25:I25"/>
    <mergeCell ref="D21:E21"/>
    <mergeCell ref="H21:I21"/>
    <mergeCell ref="H22:I22"/>
    <mergeCell ref="G23:I23"/>
    <mergeCell ref="H10:I10"/>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x14ac:dyDescent="0.2"/>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x14ac:dyDescent="0.25">
      <c r="B1" s="597" t="s">
        <v>1576</v>
      </c>
      <c r="S1" s="521" t="s">
        <v>99</v>
      </c>
    </row>
    <row r="2" spans="2:85" x14ac:dyDescent="0.2">
      <c r="B2" s="521" t="s">
        <v>1577</v>
      </c>
      <c r="C2" s="521">
        <f>WPArt</f>
        <v>1</v>
      </c>
      <c r="D2" s="598" t="s">
        <v>1578</v>
      </c>
      <c r="E2" s="521" t="str">
        <f ca="1">OFFSET('WP1'!Q4,WPArt,0)</f>
        <v xml:space="preserve"> </v>
      </c>
      <c r="F2" s="521"/>
      <c r="G2" s="521"/>
      <c r="H2" s="521"/>
      <c r="S2" s="595" t="s">
        <v>94</v>
      </c>
    </row>
    <row r="3" spans="2:85" x14ac:dyDescent="0.2">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x14ac:dyDescent="0.2">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x14ac:dyDescent="0.2">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x14ac:dyDescent="0.2">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x14ac:dyDescent="0.2">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x14ac:dyDescent="0.2">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x14ac:dyDescent="0.3">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x14ac:dyDescent="0.3">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x14ac:dyDescent="0.2">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x14ac:dyDescent="0.2">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x14ac:dyDescent="0.2">
      <c r="B13" s="380">
        <v>55</v>
      </c>
      <c r="C13" s="563" t="s">
        <v>2135</v>
      </c>
      <c r="D13" s="572"/>
      <c r="E13" s="565">
        <f ca="1">WP_Daten!Q5</f>
        <v>0</v>
      </c>
      <c r="F13" s="566"/>
      <c r="G13" s="565">
        <f ca="1">WP_Daten!S5</f>
        <v>0</v>
      </c>
      <c r="H13" s="565">
        <f ca="1">WP_Daten!U5</f>
        <v>0</v>
      </c>
      <c r="I13" s="566"/>
      <c r="J13" s="567"/>
      <c r="S13" s="641" t="s">
        <v>3883</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x14ac:dyDescent="0.2">
      <c r="B14" s="557"/>
      <c r="C14" s="568" t="s">
        <v>774</v>
      </c>
      <c r="D14" s="574"/>
      <c r="E14" s="570">
        <f ca="1">WP_Daten!R5</f>
        <v>0</v>
      </c>
      <c r="F14" s="571"/>
      <c r="G14" s="570">
        <f ca="1">WP_Daten!T5</f>
        <v>0</v>
      </c>
      <c r="H14" s="570">
        <f ca="1">WP_Daten!V5</f>
        <v>0</v>
      </c>
      <c r="I14" s="571"/>
      <c r="J14" s="568"/>
      <c r="S14" s="641" t="s">
        <v>3884</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x14ac:dyDescent="0.2">
      <c r="S15" s="641" t="s">
        <v>3885</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x14ac:dyDescent="0.2">
      <c r="B16" t="s">
        <v>1372</v>
      </c>
      <c r="S16" s="641" t="s">
        <v>3886</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x14ac:dyDescent="0.3">
      <c r="B17" s="380"/>
      <c r="C17" s="381"/>
      <c r="D17" s="380" t="s">
        <v>1389</v>
      </c>
      <c r="E17" s="555"/>
      <c r="F17" s="555"/>
      <c r="G17" s="555"/>
      <c r="H17" s="555"/>
      <c r="I17" s="555"/>
      <c r="J17" s="381"/>
      <c r="L17" t="s">
        <v>1376</v>
      </c>
      <c r="S17" s="641" t="s">
        <v>3887</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x14ac:dyDescent="0.3">
      <c r="B18" s="382" t="s">
        <v>86</v>
      </c>
      <c r="C18" s="558"/>
      <c r="D18" s="575">
        <v>-25</v>
      </c>
      <c r="E18" s="576">
        <v>-15</v>
      </c>
      <c r="F18" s="576">
        <v>-7</v>
      </c>
      <c r="G18" s="576">
        <v>2</v>
      </c>
      <c r="H18" s="576">
        <v>7</v>
      </c>
      <c r="I18" s="576">
        <v>20</v>
      </c>
      <c r="J18" s="577">
        <v>60</v>
      </c>
      <c r="S18" s="641" t="s">
        <v>3888</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x14ac:dyDescent="0.2">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3889</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x14ac:dyDescent="0.2">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3890</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x14ac:dyDescent="0.2">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x14ac:dyDescent="0.2">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x14ac:dyDescent="0.2">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x14ac:dyDescent="0.2">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x14ac:dyDescent="0.2">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x14ac:dyDescent="0.2">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x14ac:dyDescent="0.2">
      <c r="B27" s="552" t="s">
        <v>3879</v>
      </c>
      <c r="L27" s="552" t="s">
        <v>3880</v>
      </c>
      <c r="N27" s="554">
        <f>IF(SpezWP,2,1)</f>
        <v>1</v>
      </c>
      <c r="O27" s="552" t="s">
        <v>3881</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x14ac:dyDescent="0.2">
      <c r="S28" s="595" t="s">
        <v>98</v>
      </c>
    </row>
    <row r="29" spans="2:85" ht="15.75" x14ac:dyDescent="0.3">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x14ac:dyDescent="0.3">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x14ac:dyDescent="0.2">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x14ac:dyDescent="0.2">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x14ac:dyDescent="0.2">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x14ac:dyDescent="0.2">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x14ac:dyDescent="0.2">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x14ac:dyDescent="0.2">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x14ac:dyDescent="0.2">
      <c r="T37" s="1123">
        <v>0</v>
      </c>
      <c r="U37" s="1123">
        <v>0</v>
      </c>
      <c r="V37" s="1123">
        <v>0</v>
      </c>
      <c r="W37" s="1123">
        <v>0</v>
      </c>
      <c r="X37" s="1123">
        <v>0</v>
      </c>
      <c r="Y37" s="1123">
        <v>0</v>
      </c>
      <c r="Z37" s="1123">
        <v>0</v>
      </c>
      <c r="AA37" s="1123">
        <v>0</v>
      </c>
      <c r="AB37" s="1123">
        <v>0</v>
      </c>
      <c r="AC37" s="1123">
        <v>0</v>
      </c>
      <c r="AD37" s="1123">
        <v>0</v>
      </c>
      <c r="AE37" s="1123">
        <v>0</v>
      </c>
      <c r="AF37" s="1123">
        <v>0</v>
      </c>
      <c r="AG37" s="1123">
        <v>0</v>
      </c>
      <c r="AH37" s="1123">
        <v>0</v>
      </c>
      <c r="AI37" s="1123">
        <v>0</v>
      </c>
      <c r="AJ37" s="1123">
        <v>0</v>
      </c>
      <c r="AK37" s="1123">
        <v>0</v>
      </c>
      <c r="AL37" s="1123">
        <v>0</v>
      </c>
      <c r="AM37" s="1123">
        <v>0</v>
      </c>
      <c r="AN37" s="1123">
        <v>0</v>
      </c>
      <c r="AO37" s="1123">
        <v>0</v>
      </c>
      <c r="AP37" s="1123">
        <v>0</v>
      </c>
      <c r="AQ37" s="1123">
        <v>0</v>
      </c>
      <c r="AR37" s="1123">
        <v>0</v>
      </c>
      <c r="AS37" s="1123">
        <v>0</v>
      </c>
      <c r="AT37" s="1123">
        <v>0</v>
      </c>
      <c r="AU37" s="1123">
        <v>0</v>
      </c>
      <c r="AV37" s="1123">
        <v>0</v>
      </c>
      <c r="AW37" s="1123">
        <v>0</v>
      </c>
      <c r="AX37" s="1123">
        <v>0</v>
      </c>
      <c r="AY37" s="1123">
        <v>0</v>
      </c>
      <c r="AZ37" s="1123">
        <v>0</v>
      </c>
      <c r="BA37" s="1123">
        <v>0</v>
      </c>
      <c r="BB37" s="1123">
        <v>0</v>
      </c>
      <c r="BC37" s="1123">
        <v>0</v>
      </c>
      <c r="BD37" s="1123">
        <v>0</v>
      </c>
      <c r="BE37" s="1123">
        <v>0</v>
      </c>
      <c r="BF37" s="1123">
        <v>0</v>
      </c>
      <c r="BG37" s="1123">
        <v>0</v>
      </c>
      <c r="BH37" s="1123">
        <v>0</v>
      </c>
      <c r="BI37" s="1123">
        <v>0</v>
      </c>
      <c r="BJ37" s="1123">
        <v>0</v>
      </c>
      <c r="BK37" s="1123">
        <v>0</v>
      </c>
      <c r="BL37" s="1123">
        <v>0</v>
      </c>
      <c r="BM37" s="1123">
        <v>0</v>
      </c>
      <c r="BN37" s="1123">
        <v>0</v>
      </c>
      <c r="BO37" s="1123">
        <v>0</v>
      </c>
      <c r="BP37" s="1123">
        <v>0</v>
      </c>
      <c r="BQ37" s="1123">
        <v>0</v>
      </c>
      <c r="BR37" s="1123">
        <v>0</v>
      </c>
      <c r="BS37" s="1123">
        <v>0</v>
      </c>
      <c r="BT37" s="1123">
        <v>0</v>
      </c>
      <c r="BU37" s="1123">
        <v>0</v>
      </c>
      <c r="BV37" s="1123">
        <v>0</v>
      </c>
      <c r="BW37" s="1123">
        <v>0</v>
      </c>
      <c r="BX37" s="1123">
        <v>0</v>
      </c>
      <c r="BY37" s="1123">
        <v>0</v>
      </c>
      <c r="BZ37" s="1123">
        <v>0</v>
      </c>
      <c r="CA37" s="1123">
        <v>0</v>
      </c>
      <c r="CB37" s="1123">
        <v>0</v>
      </c>
      <c r="CC37" s="1123">
        <v>0</v>
      </c>
      <c r="CD37" s="1123">
        <v>0</v>
      </c>
      <c r="CE37" s="1123">
        <v>0</v>
      </c>
      <c r="CF37" s="1123">
        <v>0</v>
      </c>
      <c r="CG37" s="1123">
        <v>0</v>
      </c>
    </row>
    <row r="38" spans="2:86" x14ac:dyDescent="0.2">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x14ac:dyDescent="0.3">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x14ac:dyDescent="0.2">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4">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4">
        <f>Spez!J57</f>
        <v>0</v>
      </c>
      <c r="AV40" s="556">
        <f>$AU$40+($AZ$40-$AU$40)/5*(AV$35-$AU$35)</f>
        <v>0</v>
      </c>
      <c r="AW40" s="556">
        <f t="shared" ref="AW40:AY40" si="55">$AU$40+($AZ$40-$AU$40)/5*(AW$35-$AU$35)</f>
        <v>0</v>
      </c>
      <c r="AX40" s="556">
        <f t="shared" si="55"/>
        <v>0</v>
      </c>
      <c r="AY40" s="556">
        <f t="shared" si="55"/>
        <v>0</v>
      </c>
      <c r="AZ40" s="1124">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x14ac:dyDescent="0.2">
      <c r="S41" s="521" t="s">
        <v>100</v>
      </c>
    </row>
    <row r="42" spans="2:86" x14ac:dyDescent="0.2">
      <c r="S42" s="661" t="s">
        <v>752</v>
      </c>
    </row>
    <row r="43" spans="2:86" x14ac:dyDescent="0.2">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x14ac:dyDescent="0.2">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x14ac:dyDescent="0.2">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x14ac:dyDescent="0.2">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x14ac:dyDescent="0.2">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x14ac:dyDescent="0.2">
      <c r="S49" s="661" t="s">
        <v>3484</v>
      </c>
    </row>
    <row r="50" spans="2:85" x14ac:dyDescent="0.2">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x14ac:dyDescent="0.2">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x14ac:dyDescent="0.2">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x14ac:dyDescent="0.2">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x14ac:dyDescent="0.2">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x14ac:dyDescent="0.2">
      <c r="S57" s="521" t="s">
        <v>2547</v>
      </c>
    </row>
    <row r="59" spans="2:85" x14ac:dyDescent="0.2">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x14ac:dyDescent="0.3">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x14ac:dyDescent="0.2">
      <c r="S61" s="661" t="s">
        <v>752</v>
      </c>
    </row>
    <row r="62" spans="2:85" x14ac:dyDescent="0.2">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x14ac:dyDescent="0.2">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x14ac:dyDescent="0.2">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x14ac:dyDescent="0.2">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x14ac:dyDescent="0.2">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x14ac:dyDescent="0.2">
      <c r="B67" t="s">
        <v>752</v>
      </c>
      <c r="E67" s="581" t="str">
        <f>IF(OR(WPArt=3,WPArt=5),"Auslegung","Messpunkt")</f>
        <v>Messpunkt</v>
      </c>
      <c r="F67" s="592"/>
      <c r="G67" s="599" t="s">
        <v>3871</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x14ac:dyDescent="0.2">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x14ac:dyDescent="0.2">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x14ac:dyDescent="0.2">
      <c r="B70" s="581" t="s">
        <v>1369</v>
      </c>
      <c r="C70" s="591"/>
      <c r="D70" s="591"/>
      <c r="E70" s="593">
        <f>IF(OR(WPArt=3,WPArt=5),'WP1'!M41,'WP1'!W52)</f>
        <v>0</v>
      </c>
      <c r="F70" s="592" t="s">
        <v>3650</v>
      </c>
      <c r="G70" s="593">
        <f>E70</f>
        <v>0</v>
      </c>
      <c r="H70" s="592" t="s">
        <v>3650</v>
      </c>
      <c r="K70" s="581" t="s">
        <v>1369</v>
      </c>
      <c r="L70" s="591"/>
      <c r="M70" s="593">
        <f>'WP1'!W53</f>
        <v>0</v>
      </c>
      <c r="N70" s="592" t="s">
        <v>3650</v>
      </c>
      <c r="O70" s="593">
        <f>M70</f>
        <v>0</v>
      </c>
      <c r="P70" s="592" t="s">
        <v>3650</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x14ac:dyDescent="0.2">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x14ac:dyDescent="0.2">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x14ac:dyDescent="0.2">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x14ac:dyDescent="0.2">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x14ac:dyDescent="0.2">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x14ac:dyDescent="0.2">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x14ac:dyDescent="0.2">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x14ac:dyDescent="0.2">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x14ac:dyDescent="0.2">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x14ac:dyDescent="0.2">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x14ac:dyDescent="0.2">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x14ac:dyDescent="0.2">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x14ac:dyDescent="0.2">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x14ac:dyDescent="0.2">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x14ac:dyDescent="0.2">
      <c r="S86" s="335" t="s">
        <v>3896</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topLeftCell="A28" zoomScaleNormal="100" workbookViewId="0">
      <selection activeCell="R6" sqref="R6"/>
    </sheetView>
  </sheetViews>
  <sheetFormatPr baseColWidth="10" defaultColWidth="11.5703125" defaultRowHeight="12.75" x14ac:dyDescent="0.2"/>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x14ac:dyDescent="0.2">
      <c r="M1" s="875" t="s">
        <v>3908</v>
      </c>
      <c r="N1" s="874" t="b">
        <v>1</v>
      </c>
      <c r="O1" s="875"/>
      <c r="P1" s="874"/>
      <c r="Q1" s="843"/>
      <c r="R1" s="843"/>
      <c r="S1" s="843"/>
      <c r="T1" s="843"/>
      <c r="U1" s="843"/>
      <c r="V1" s="843"/>
      <c r="W1" s="843"/>
      <c r="X1" s="843"/>
      <c r="Y1" s="843"/>
      <c r="Z1" s="843"/>
      <c r="AA1" s="843"/>
      <c r="AB1" s="843"/>
      <c r="AC1" s="843"/>
      <c r="AD1" s="843"/>
      <c r="AE1" s="843"/>
      <c r="AF1" s="843"/>
    </row>
    <row r="2" spans="2:32" ht="24" customHeight="1" x14ac:dyDescent="0.25">
      <c r="B2" s="252" t="str">
        <f>Sprache!B211</f>
        <v>Calcul de la courbe de charge</v>
      </c>
      <c r="C2" s="252"/>
      <c r="E2" s="251"/>
      <c r="H2" s="1307" t="str">
        <f>Sprache!B8</f>
        <v>WPesti / V 8.3.38 / 19.12.2025                valable jusqu'à 31.12.2026</v>
      </c>
      <c r="I2" s="1307"/>
      <c r="J2" s="1308"/>
      <c r="K2" s="1308"/>
      <c r="L2" s="354"/>
      <c r="Q2" s="843"/>
      <c r="R2" s="843"/>
      <c r="S2" s="843"/>
      <c r="T2" s="843"/>
      <c r="U2" s="843"/>
      <c r="V2" s="843"/>
      <c r="W2" s="843"/>
      <c r="X2" s="843"/>
      <c r="Y2" s="843"/>
      <c r="Z2" s="843"/>
      <c r="AA2" s="843"/>
      <c r="AB2" s="843"/>
      <c r="AC2" s="843"/>
      <c r="AD2" s="843"/>
      <c r="AE2" s="843"/>
      <c r="AF2" s="843"/>
    </row>
    <row r="3" spans="2:32" ht="7.9" customHeight="1" x14ac:dyDescent="0.25">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x14ac:dyDescent="0.2">
      <c r="B4" s="1310" t="str">
        <f>IF('WP1'!B3&lt;&gt;"",'WP1'!B3,"")</f>
        <v/>
      </c>
      <c r="C4" s="1310"/>
      <c r="D4" s="1310"/>
      <c r="E4" s="1310"/>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x14ac:dyDescent="0.2">
      <c r="B5" s="1311"/>
      <c r="C5" s="1311"/>
      <c r="D5" s="1311"/>
      <c r="E5" s="1311"/>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x14ac:dyDescent="0.2">
      <c r="B6" s="296" t="str">
        <f>Sprache!B212</f>
        <v>Climat et profil de charge:</v>
      </c>
      <c r="E6" s="259" t="str">
        <f>Sprache!B223</f>
        <v>Besoin d'énergie:</v>
      </c>
      <c r="F6" s="260"/>
      <c r="G6" s="259"/>
      <c r="H6" s="296" t="str">
        <f>Sprache!B233</f>
        <v>Couverture des besoins et COP's:</v>
      </c>
      <c r="I6" s="261"/>
      <c r="L6" s="253"/>
      <c r="Q6" s="843"/>
      <c r="R6" s="843"/>
      <c r="S6" s="843"/>
      <c r="T6" s="843"/>
      <c r="U6" s="843"/>
      <c r="V6" s="843"/>
      <c r="W6" s="843"/>
      <c r="X6" s="843"/>
      <c r="Y6" s="843"/>
      <c r="Z6" s="843"/>
      <c r="AA6" s="843"/>
      <c r="AB6" s="843"/>
      <c r="AC6" s="843"/>
      <c r="AD6" s="843"/>
      <c r="AE6" s="843"/>
      <c r="AF6" s="843"/>
    </row>
    <row r="7" spans="2:32" ht="16.899999999999999" customHeight="1" x14ac:dyDescent="0.2">
      <c r="B7" s="5" t="str">
        <f>Sprache!B213</f>
        <v>Station climatique</v>
      </c>
      <c r="C7" s="19" t="str">
        <f>Wetterstation</f>
        <v/>
      </c>
      <c r="D7" s="5"/>
      <c r="E7" s="5" t="str">
        <f>Sprache!B224</f>
        <v>Besoins de chaleur</v>
      </c>
      <c r="F7" s="214">
        <f>IF('WP1'!BH57=3,0,IF(AND(Qh&gt;0,EBF&gt;0),EBF*'WP1'!H9/3.6,))</f>
        <v>0</v>
      </c>
      <c r="G7" s="5" t="s">
        <v>3665</v>
      </c>
      <c r="H7" s="287" t="str">
        <f>Sprache!B234</f>
        <v>Taux couverture solaire (chauf.)</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x14ac:dyDescent="0.2">
      <c r="B8" s="5" t="str">
        <f>Sprache!B216</f>
        <v xml:space="preserve">Besoins de chaleur </v>
      </c>
      <c r="C8" s="214">
        <f>IF('WP1'!J21&lt;&gt;3,EBF*'WP1'!H9/3.6,0)</f>
        <v>0</v>
      </c>
      <c r="D8" s="5" t="s">
        <v>3665</v>
      </c>
      <c r="E8" s="5" t="str">
        <f>Sprache!B225</f>
        <v>Distribution chauffage</v>
      </c>
      <c r="F8" s="214">
        <f>IF('WP1'!BH57=3,0,IF(AND(Qh&gt;0,EBF&gt;0),Verteilverluste*'WP1'!H9*EBF/3.6,))</f>
        <v>0</v>
      </c>
      <c r="G8" s="5" t="s">
        <v>3665</v>
      </c>
      <c r="H8" s="287" t="str">
        <f>Sprache!B235</f>
        <v>Taux couverture solaire (ECS)</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x14ac:dyDescent="0.2">
      <c r="B9" s="5" t="str">
        <f>Sprache!B217</f>
        <v>Gains de chaleur</v>
      </c>
      <c r="C9" s="214">
        <f>IF(Solarant&lt;&gt;1,C8/(1-Solarant)*Solarant,)</f>
        <v>0</v>
      </c>
      <c r="D9" s="5" t="s">
        <v>3665</v>
      </c>
      <c r="E9" s="5" t="str">
        <f>Sprache!B226</f>
        <v>Besoins chaleur ECS</v>
      </c>
      <c r="F9" s="214">
        <f>IF(AND(Qww&gt;0,EBF&gt;0,Kategorie&gt;1),Qww/(1+EtaWW)*EBF/3.6,)</f>
        <v>0</v>
      </c>
      <c r="G9" s="5" t="s">
        <v>3665</v>
      </c>
      <c r="H9" s="287" t="str">
        <f>Sprache!B236</f>
        <v>Taux couverture PAC (chauf)</v>
      </c>
      <c r="K9" s="263">
        <f>IF(Kategorie&gt;1,IF('WP1'!F62="",0,'WP1'!F62),0)</f>
        <v>0</v>
      </c>
      <c r="M9" s="887"/>
    </row>
    <row r="10" spans="2:32" s="5" customFormat="1" ht="16.899999999999999" customHeight="1" x14ac:dyDescent="0.2">
      <c r="B10" s="5" t="str">
        <f>Sprache!B218</f>
        <v>"Part solaire:"</v>
      </c>
      <c r="C10" s="295">
        <f>IF(Heizung,1-'WP1'!T130,0)</f>
        <v>0</v>
      </c>
      <c r="E10" s="5" t="str">
        <f>Sprache!B227</f>
        <v>Distribution ECS</v>
      </c>
      <c r="F10" s="262">
        <f>IF(AND(Qww&gt;0,EBF&gt;0),Qww/(1+EtaWW)*EBF*EtaWW/3.6,)</f>
        <v>0</v>
      </c>
      <c r="G10" s="5" t="s">
        <v>3665</v>
      </c>
      <c r="H10" s="287" t="str">
        <f>Sprache!B237</f>
        <v>Taux couverture PAC (ECS)</v>
      </c>
      <c r="I10" s="251"/>
      <c r="J10" s="251"/>
      <c r="K10" s="263">
        <f>IF('WP1'!F63&lt;&gt;"",'WP1'!F63,0)</f>
        <v>0</v>
      </c>
    </row>
    <row r="11" spans="2:32" s="5" customFormat="1" ht="16.899999999999999" customHeight="1" x14ac:dyDescent="0.2">
      <c r="B11" s="5" t="str">
        <f>Sprache!B219</f>
        <v>P nécessaire ECS</v>
      </c>
      <c r="C11" s="217">
        <f>IF(WW,IF(AND(Qww&gt;0,EBF&gt;0),Qww/3.6*EBF/8760,0),0)</f>
        <v>0</v>
      </c>
      <c r="D11" s="5" t="s">
        <v>3650</v>
      </c>
      <c r="E11" s="264" t="str">
        <f>Sprache!B228</f>
        <v>Besoins totaux:</v>
      </c>
      <c r="F11" s="265">
        <f>IF(OR(Qh&lt;&gt;"",Qww&lt;&gt;""),SUM(F7:F10),)</f>
        <v>0</v>
      </c>
      <c r="G11" s="264" t="s">
        <v>3665</v>
      </c>
      <c r="H11" s="287" t="str">
        <f>Sprache!B238</f>
        <v>COPA PAC (chauffage)</v>
      </c>
      <c r="I11" s="251"/>
      <c r="J11" s="251"/>
      <c r="K11" s="217">
        <f ca="1">IF(JAZcalc,jazsh,jazh)</f>
        <v>0</v>
      </c>
    </row>
    <row r="12" spans="2:32" s="5" customFormat="1" ht="16.899999999999999" customHeight="1" x14ac:dyDescent="0.2">
      <c r="B12" s="5" t="str">
        <f>Sprache!B221</f>
        <v>Durée marche PAC</v>
      </c>
      <c r="C12" s="214">
        <f>IF(Kategorie&gt;1,'WP1'!AI128*(24-Sperrzeit)/24,)</f>
        <v>0</v>
      </c>
      <c r="D12" s="5" t="s">
        <v>3481</v>
      </c>
      <c r="H12" s="287" t="str">
        <f>Sprache!B239</f>
        <v>COPA PAC (ECS)</v>
      </c>
      <c r="K12" s="217">
        <f>IF(JAZcalc,jazsww,jazww)</f>
        <v>0</v>
      </c>
      <c r="M12" s="125"/>
      <c r="N12" s="125"/>
    </row>
    <row r="13" spans="2:32" s="5" customFormat="1" ht="16.899999999999999" customHeight="1" x14ac:dyDescent="0.2">
      <c r="B13" s="5" t="str">
        <f>Sprache!B222</f>
        <v>Besoin d'électricité PAC</v>
      </c>
      <c r="C13" s="214">
        <f>IF(EBF&gt;0,IF(K11&gt;0,(F7+F8)*K9/K11,0)+IF(K12&gt;0,(F9+F10)*K10/K12,0),0)</f>
        <v>0</v>
      </c>
      <c r="D13" s="5" t="s">
        <v>3665</v>
      </c>
      <c r="H13" s="287" t="str">
        <f>IF(JAZcalc,"JAZ total (inkl. Elektrozusatz)","")</f>
        <v/>
      </c>
      <c r="K13" s="217" t="str">
        <f>IF(JAZcalc,JAZcalc!I64,"")</f>
        <v/>
      </c>
      <c r="M13" s="125"/>
      <c r="N13" s="848"/>
    </row>
    <row r="14" spans="2:32" s="5" customFormat="1" ht="16.899999999999999" customHeight="1" x14ac:dyDescent="0.2">
      <c r="E14" s="264" t="str">
        <f>Sprache!B229</f>
        <v>Besoin de puissance de chauffage (sans ECS)</v>
      </c>
      <c r="H14" s="362" t="str">
        <f>Sprache!B240</f>
        <v>PAC pour chauffage:</v>
      </c>
      <c r="I14" s="297"/>
      <c r="J14" s="297"/>
      <c r="K14" s="298">
        <f>IF(Kategorie&gt;1,'WP1'!AK128,0)</f>
        <v>0</v>
      </c>
      <c r="M14" s="125"/>
      <c r="N14" s="125"/>
      <c r="O14" s="214"/>
    </row>
    <row r="15" spans="2:32" s="5" customFormat="1" ht="16.899999999999999" customHeight="1" x14ac:dyDescent="0.2">
      <c r="B15" s="264" t="str">
        <f>IF(JAZcalc,"Energiekosten:","")</f>
        <v/>
      </c>
      <c r="E15" s="5" t="str">
        <f>IF(JAZcalc,"Vorschlag bei "&amp;TaMinVorarlberg&amp;" °C",Sprache!B230)</f>
        <v>Proposition à °C</v>
      </c>
      <c r="F15" s="266">
        <f>IF(JAZcalc,'WP1'!M31/(20-TaMin)*(20-TaMinVorarlberg),'WP1'!M31)</f>
        <v>0</v>
      </c>
      <c r="G15" s="5" t="s">
        <v>3650</v>
      </c>
      <c r="H15" s="362" t="str">
        <f>Sprache!B241</f>
        <v>PAC pour ECS:</v>
      </c>
      <c r="I15" s="297"/>
      <c r="J15" s="297"/>
      <c r="K15" s="298">
        <f>IF(WW,IF(OR(Qww&lt;&gt;0),'WP1'!AG128,),0)*K10</f>
        <v>0</v>
      </c>
      <c r="M15" s="125"/>
      <c r="O15" s="214"/>
    </row>
    <row r="16" spans="2:32" s="5" customFormat="1" ht="16.899999999999999" customHeight="1" x14ac:dyDescent="0.2">
      <c r="B16" s="5" t="str">
        <f>IF(JAZcalc,"Wärmepumpe","")</f>
        <v/>
      </c>
      <c r="C16" s="214" t="str">
        <f>IF(JAZcalc,IF(EBF&gt;0,IF(jazsh&gt;0,(F7+F8)*K9/K11,0)*Kosten!C9+IF(jazsww&gt;0,(F9+F10)*K10/K12,0)*Kosten!C9,0),"")</f>
        <v/>
      </c>
      <c r="D16" s="5" t="str">
        <f>IF(JAZcalc,"Euro","")</f>
        <v/>
      </c>
      <c r="E16" s="5" t="str">
        <f>IF(JAZcalc,"Rechenwert bei "&amp;TaMinVorarlberg&amp;" °C",Sprache!B231)</f>
        <v>P calculée à °C</v>
      </c>
      <c r="F16" s="266">
        <f>IF(Kategorie&gt;1,IF(OR(Qh&lt;&gt;"",Qww&lt;&gt;""),IF(JAZcalc,'WP1'!M32/28*(20-TaMinVorarlberg),'WP1'!M32/28*(20-TaMin)),0),)</f>
        <v>0</v>
      </c>
      <c r="G16" s="5" t="s">
        <v>3650</v>
      </c>
      <c r="H16" s="362" t="str">
        <f>Sprache!B242</f>
        <v>Chauffage d'appoint ECS:</v>
      </c>
      <c r="I16" s="297"/>
      <c r="J16" s="297"/>
      <c r="K16" s="298">
        <f>IF(WW,IF(OR(Qww&lt;&gt;0),'WP1'!AG128,),0)*(1-K10)</f>
        <v>0</v>
      </c>
      <c r="L16" s="297" t="s">
        <v>3665</v>
      </c>
      <c r="M16" s="125"/>
    </row>
    <row r="17" spans="2:32" s="5" customFormat="1" ht="16.899999999999999" customHeight="1" x14ac:dyDescent="0.2">
      <c r="B17" s="5" t="str">
        <f>IF(JAZcalc,"Heizstab WW","")</f>
        <v/>
      </c>
      <c r="C17" s="214" t="str">
        <f>IF(JAZcalc,IF(elWW,(F9+F10)*(1-K10-K8)*Kosten!C9,0),"")</f>
        <v/>
      </c>
      <c r="D17" s="5" t="str">
        <f>IF(JAZcalc,"Euro","")</f>
        <v/>
      </c>
      <c r="E17" s="377" t="str">
        <f>Sprache!B232</f>
        <v xml:space="preserve">P calculée à -8°C </v>
      </c>
      <c r="F17" s="266">
        <f>IF(Kategorie&gt;1,IF(Heizung,'WP1'!M32,0),)</f>
        <v>0</v>
      </c>
      <c r="G17" s="251" t="s">
        <v>3650</v>
      </c>
      <c r="H17" s="363" t="str">
        <f>Sprache!B243</f>
        <v>Appoint au chauffage:</v>
      </c>
      <c r="I17" s="297"/>
      <c r="J17" s="297"/>
      <c r="K17" s="298">
        <f>IF(Heizung,IF(Kategorie&gt;1,IF(OR(Qh&lt;&gt;"",Qww&lt;&gt;""),Max_Zusatzheizung-K16,),0),0)</f>
        <v>0</v>
      </c>
      <c r="L17" s="297" t="s">
        <v>3665</v>
      </c>
      <c r="M17" s="843"/>
      <c r="N17" s="843"/>
    </row>
    <row r="18" spans="2:32" s="5" customFormat="1" ht="16.899999999999999" customHeight="1" x14ac:dyDescent="0.2">
      <c r="B18" s="5" t="str">
        <f>IF(JAZcalc,"Zusatzheizung","")</f>
        <v/>
      </c>
      <c r="C18" s="262" t="str">
        <f>IF(JAZcalc,(F7+F8)*(1-K9-K7)*IF('WP1'!J23=4,Kosten!C14,Kosten!C9),"")</f>
        <v/>
      </c>
      <c r="D18" s="5" t="str">
        <f>IF(JAZcalc,"Euro","")</f>
        <v/>
      </c>
      <c r="H18" s="363" t="str">
        <f>Sprache!B244</f>
        <v>Pertes:</v>
      </c>
      <c r="I18" s="297"/>
      <c r="J18" s="297"/>
      <c r="K18" s="298">
        <f>IF(Kategorie&gt;1,-IF(OR(Qh&lt;&gt;"",Qww&lt;&gt;""),IF('WP1'!AD139&gt;2,K14+K15+K16+K17-F11-Max_Zusatzheizung+Zusatzheizung_total,),),0)</f>
        <v>0</v>
      </c>
      <c r="L18" s="297" t="s">
        <v>3665</v>
      </c>
      <c r="M18" s="843"/>
      <c r="N18" s="843"/>
    </row>
    <row r="19" spans="2:32" s="5" customFormat="1" ht="16.899999999999999" customHeight="1" x14ac:dyDescent="0.2">
      <c r="B19" s="5" t="str">
        <f>IF(JAZcalc,"Energie total","")</f>
        <v/>
      </c>
      <c r="C19" s="1017" t="str">
        <f>IF(JAZcalc,IF(EBF&gt;0,C16+C17+C18,0),"")</f>
        <v/>
      </c>
      <c r="D19" s="234" t="str">
        <f>IF(JAZcalc,"Euro","")</f>
        <v/>
      </c>
      <c r="H19" s="299" t="str">
        <f>Sprache!B245</f>
        <v>Couverture des besoins:</v>
      </c>
      <c r="I19" s="297"/>
      <c r="J19" s="297"/>
      <c r="K19" s="300">
        <f>IF(OR(Qh&lt;&gt;"",Qww&lt;&gt;""),K14+K15+K16+K17+K18,)</f>
        <v>0</v>
      </c>
      <c r="L19" s="297" t="s">
        <v>3665</v>
      </c>
      <c r="M19" s="843"/>
      <c r="N19" s="843"/>
    </row>
    <row r="20" spans="2:32" ht="16.899999999999999" customHeight="1" x14ac:dyDescent="0.2">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x14ac:dyDescent="0.2">
      <c r="H21" s="352"/>
      <c r="N21" s="348" t="str">
        <f>Sprache!B246</f>
        <v>Temp extérieure
Ta</v>
      </c>
      <c r="O21" s="348" t="str">
        <f>Sprache!B247</f>
        <v>Puissance
nécessaire</v>
      </c>
      <c r="P21" s="349" t="str">
        <f>Sprache!B248</f>
        <v>Distribution
BIN</v>
      </c>
      <c r="Q21" s="348" t="str">
        <f>Sprache!B249</f>
        <v>Courbe de charge
sans gains de chaleur</v>
      </c>
      <c r="R21" s="350" t="str">
        <f>Sprache!B250</f>
        <v>Fréquence
cumulée</v>
      </c>
      <c r="S21" s="348" t="str">
        <f>Sprache!B251</f>
        <v>Courbe de charge
avec gains chaleur</v>
      </c>
      <c r="T21" s="351" t="str">
        <f>Sprache!B250</f>
        <v>Fréquence
cumulée</v>
      </c>
      <c r="U21" s="349" t="str">
        <f>Sprache!B252</f>
        <v>Apport chaleur
PAC</v>
      </c>
      <c r="V21" s="349" t="s">
        <v>2330</v>
      </c>
      <c r="W21" s="349" t="str">
        <f>Sprache!B253</f>
        <v>PAC + chauffage d'appoint</v>
      </c>
      <c r="X21" s="348" t="s">
        <v>1200</v>
      </c>
      <c r="Y21" s="350" t="s">
        <v>2329</v>
      </c>
      <c r="Z21" s="351" t="s">
        <v>3905</v>
      </c>
      <c r="AA21" s="349" t="s">
        <v>3906</v>
      </c>
      <c r="AB21" s="349" t="s">
        <v>3907</v>
      </c>
      <c r="AC21" s="349" t="s">
        <v>1743</v>
      </c>
      <c r="AD21" s="349" t="s">
        <v>1741</v>
      </c>
      <c r="AE21" s="349" t="s">
        <v>1742</v>
      </c>
      <c r="AF21" s="5"/>
    </row>
    <row r="22" spans="2:32" s="5" customFormat="1" ht="12" x14ac:dyDescent="0.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x14ac:dyDescent="0.2">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x14ac:dyDescent="0.2">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x14ac:dyDescent="0.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x14ac:dyDescent="0.2">
      <c r="N26" s="276">
        <v>-25</v>
      </c>
      <c r="O26" s="1113">
        <f>IF(Qh&gt;0,IF(P26&gt;0,IF(Heizung,'WP1'!Z60,0)+IF(WW,Qww*EBF/3.6/8760,0),0),)</f>
        <v>0</v>
      </c>
      <c r="P26" s="1114">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5"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x14ac:dyDescent="0.2">
      <c r="N27" s="276">
        <v>-24</v>
      </c>
      <c r="O27" s="1113">
        <f>IF(Qh&gt;0,IF(P27&gt;0,IF(Heizung,'WP1'!Z61,0)+IF(WW,Qww*EBF/3.6/8760,0),0),)</f>
        <v>0</v>
      </c>
      <c r="P27" s="1114">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5"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x14ac:dyDescent="0.2">
      <c r="N28" s="276">
        <v>-23</v>
      </c>
      <c r="O28" s="1113">
        <f>IF(Qh&gt;0,IF(P28&gt;0,IF(Heizung,'WP1'!Z62,0)+IF(WW,Qww*EBF/3.6/8760,0),0),)</f>
        <v>0</v>
      </c>
      <c r="P28" s="1114">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5"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x14ac:dyDescent="0.2">
      <c r="N29" s="276">
        <v>-22</v>
      </c>
      <c r="O29" s="1113">
        <f>IF(Qh&gt;0,IF(P29&gt;0,IF(Heizung,'WP1'!Z63,0)+IF(WW,Qww*EBF/3.6/8760,0),0),)</f>
        <v>0</v>
      </c>
      <c r="P29" s="1114">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5"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x14ac:dyDescent="0.2">
      <c r="N30" s="276">
        <v>-21</v>
      </c>
      <c r="O30" s="1113">
        <f>IF(Qh&gt;0,IF(P30&gt;0,IF(Heizung,'WP1'!Z64,0)+IF(WW,Qww*EBF/3.6/8760,0),0),)</f>
        <v>0</v>
      </c>
      <c r="P30" s="1114">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5"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x14ac:dyDescent="0.2">
      <c r="N31" s="276">
        <v>-20</v>
      </c>
      <c r="O31" s="1113">
        <f>IF(Qh&gt;0,IF(P31&gt;0,IF(Heizung,'WP1'!Z65,0)+IF(WW,Qww*EBF/3.6/8760,0),0),)</f>
        <v>0</v>
      </c>
      <c r="P31" s="1114">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5"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x14ac:dyDescent="0.2">
      <c r="N32" s="276">
        <v>-19</v>
      </c>
      <c r="O32" s="1113">
        <f>IF(Qh&gt;0,IF(P32&gt;0,IF(Heizung,'WP1'!Z66,0)+IF(WW,Qww*EBF/3.6/8760,0),0),)</f>
        <v>0</v>
      </c>
      <c r="P32" s="1114">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5"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x14ac:dyDescent="0.2">
      <c r="N33" s="276">
        <v>-18</v>
      </c>
      <c r="O33" s="1113">
        <f>IF(Qh&gt;0,IF(P33&gt;0,IF(Heizung,'WP1'!Z67,0)+IF(WW,Qww*EBF/3.6/8760,0),0),)</f>
        <v>0</v>
      </c>
      <c r="P33" s="1114">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5"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x14ac:dyDescent="0.2">
      <c r="N34" s="276">
        <v>-17</v>
      </c>
      <c r="O34" s="1113">
        <f>IF(Qh&gt;0,IF(P34&gt;0,IF(Heizung,'WP1'!Z68,0)+IF(WW,Qww*EBF/3.6/8760,0),0),)</f>
        <v>0</v>
      </c>
      <c r="P34" s="1114">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5"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x14ac:dyDescent="0.2">
      <c r="N35" s="276">
        <v>-16</v>
      </c>
      <c r="O35" s="1113">
        <f>IF(Qh&gt;0,IF(P35&gt;0,IF(Heizung,'WP1'!Z69,0)+IF(WW,Qww*EBF/3.6/8760,0),0),)</f>
        <v>0</v>
      </c>
      <c r="P35" s="1114">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5"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x14ac:dyDescent="0.2">
      <c r="N36" s="276">
        <v>-15</v>
      </c>
      <c r="O36" s="1113">
        <f>IF(Qh&gt;0,IF(P36&gt;0,IF(Heizung,'WP1'!Z70,0)+IF(WW,Qww*EBF/3.6/8760,0),0),)</f>
        <v>0</v>
      </c>
      <c r="P36" s="1114">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5"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x14ac:dyDescent="0.2">
      <c r="N37" s="276">
        <v>-14</v>
      </c>
      <c r="O37" s="1113">
        <f>IF(Qh&gt;0,IF(P37&gt;0,IF(Heizung,'WP1'!Z71,0)+IF(WW,Qww*EBF/3.6/8760,0),0),)</f>
        <v>0</v>
      </c>
      <c r="P37" s="1114">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5"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x14ac:dyDescent="0.2">
      <c r="N38" s="276">
        <v>-13</v>
      </c>
      <c r="O38" s="1113">
        <f>IF(Qh&gt;0,IF(P38&gt;0,IF(Heizung,'WP1'!Z72,0)+IF(WW,Qww*EBF/3.6/8760,0),0),)</f>
        <v>0</v>
      </c>
      <c r="P38" s="1114">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5"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x14ac:dyDescent="0.2">
      <c r="N39" s="276">
        <v>-12</v>
      </c>
      <c r="O39" s="1113">
        <f>IF(Qh&gt;0,IF(P39&gt;0,IF(Heizung,'WP1'!Z73,0)+IF(WW,Qww*EBF/3.6/8760,0),0),)</f>
        <v>0</v>
      </c>
      <c r="P39" s="1114">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5"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x14ac:dyDescent="0.2">
      <c r="N40" s="276">
        <v>-11</v>
      </c>
      <c r="O40" s="1113">
        <f>IF(Qh&gt;0,IF(P40&gt;0,IF(Heizung,'WP1'!Z74,0)+IF(WW,Qww*EBF/3.6/8760,0),0),)</f>
        <v>0</v>
      </c>
      <c r="P40" s="1114">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5"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x14ac:dyDescent="0.2">
      <c r="N41" s="276">
        <v>-10</v>
      </c>
      <c r="O41" s="1113">
        <f>IF(Qh&gt;0,IF(P41&gt;0,IF(Heizung,'WP1'!Z75,0)+IF(WW,Qww*EBF/3.6/8760,0),0),)</f>
        <v>0</v>
      </c>
      <c r="P41" s="1114">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5"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x14ac:dyDescent="0.2">
      <c r="N42" s="276">
        <v>-9</v>
      </c>
      <c r="O42" s="1113">
        <f>IF(Qh&gt;0,IF(P42&gt;0,IF(Heizung,'WP1'!Z76,0)+IF(WW,Qww*EBF/3.6/8760,0),0),)</f>
        <v>0</v>
      </c>
      <c r="P42" s="1114">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5"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x14ac:dyDescent="0.2">
      <c r="N43" s="276">
        <v>-8</v>
      </c>
      <c r="O43" s="1113">
        <f>IF(Qh&gt;0,IF(P43&gt;0,IF(Heizung,'WP1'!Z77,0)+IF(WW,Qww*EBF/3.6/8760,0),0),)</f>
        <v>0</v>
      </c>
      <c r="P43" s="1114"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5"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x14ac:dyDescent="0.2">
      <c r="N44" s="276">
        <v>-7</v>
      </c>
      <c r="O44" s="1113">
        <f>IF(Qh&gt;0,IF(P44&gt;0,IF(Heizung,'WP1'!Z78,0)+IF(WW,Qww*EBF/3.6/8760,0),0),)</f>
        <v>0</v>
      </c>
      <c r="P44" s="1114"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5"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x14ac:dyDescent="0.2">
      <c r="N45" s="276">
        <v>-6</v>
      </c>
      <c r="O45" s="1113">
        <f>IF(Qh&gt;0,IF(P45&gt;0,IF(Heizung,'WP1'!Z79,0)+IF(WW,Qww*EBF/3.6/8760,0),0),)</f>
        <v>0</v>
      </c>
      <c r="P45" s="1114"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5"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x14ac:dyDescent="0.2">
      <c r="N46" s="276">
        <v>-5</v>
      </c>
      <c r="O46" s="1113">
        <f>IF(Qh&gt;0,IF(P46&gt;0,IF(Heizung,'WP1'!Z80,0)+IF(WW,Qww*EBF/3.6/8760,0),0),)</f>
        <v>0</v>
      </c>
      <c r="P46" s="1114"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5"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x14ac:dyDescent="0.2">
      <c r="N47" s="276">
        <v>-4</v>
      </c>
      <c r="O47" s="1113">
        <f>IF(Qh&gt;0,IF(P47&gt;0,IF(Heizung,'WP1'!Z81,0)+IF(WW,Qww*EBF/3.6/8760,0),0),)</f>
        <v>0</v>
      </c>
      <c r="P47" s="1114"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5"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x14ac:dyDescent="0.2">
      <c r="N48" s="276">
        <v>-3</v>
      </c>
      <c r="O48" s="1113">
        <f>IF(Qh&gt;0,IF(P48&gt;0,IF(Heizung,'WP1'!Z82,0)+IF(WW,Qww*EBF/3.6/8760,0),0),)</f>
        <v>0</v>
      </c>
      <c r="P48" s="1114"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5"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x14ac:dyDescent="0.2">
      <c r="N49" s="276">
        <v>-2</v>
      </c>
      <c r="O49" s="1113">
        <f>IF(Qh&gt;0,IF(P49&gt;0,IF(Heizung,'WP1'!Z83,0)+IF(WW,Qww*EBF/3.6/8760,0),0),)</f>
        <v>0</v>
      </c>
      <c r="P49" s="1114"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5"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x14ac:dyDescent="0.2">
      <c r="N50" s="276">
        <v>-1</v>
      </c>
      <c r="O50" s="1113">
        <f>IF(Qh&gt;0,IF(P50&gt;0,IF(Heizung,'WP1'!Z84,0)+IF(WW,Qww*EBF/3.6/8760,0),0),)</f>
        <v>0</v>
      </c>
      <c r="P50" s="1114"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5"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x14ac:dyDescent="0.2">
      <c r="N51" s="276">
        <v>0</v>
      </c>
      <c r="O51" s="1113">
        <f>IF(Qh&gt;0,IF(P51&gt;0,IF(Heizung,'WP1'!Z85,0)+IF(WW,Qww*EBF/3.6/8760,0),0),)</f>
        <v>0</v>
      </c>
      <c r="P51" s="1114"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5"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x14ac:dyDescent="0.2">
      <c r="B52" s="1045" t="str">
        <f>Sprache!B254</f>
        <v>Abréviations:</v>
      </c>
      <c r="C52" s="1309" t="str">
        <f>Sprache!B255</f>
        <v>PAC = pompe à chaleur; ECS = eau chaude sanitaire;  h = rendement;  COPA = coefficient de perf annuel (sans chauffage d'appoint ni résistance électrique)</v>
      </c>
      <c r="D52" s="1309"/>
      <c r="E52" s="1309"/>
      <c r="F52" s="1309"/>
      <c r="G52" s="1309"/>
      <c r="H52" s="1309"/>
      <c r="I52" s="1309"/>
      <c r="J52" s="1309"/>
      <c r="K52" s="1309"/>
      <c r="N52" s="276">
        <v>1</v>
      </c>
      <c r="O52" s="1113">
        <f>IF(Qh&gt;0,IF(P52&gt;0,IF(Heizung,'WP1'!Z86,0)+IF(WW,Qww*EBF/3.6/8760,0),0),)</f>
        <v>0</v>
      </c>
      <c r="P52" s="1114"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5"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x14ac:dyDescent="0.2">
      <c r="N53" s="276">
        <v>2</v>
      </c>
      <c r="O53" s="1113">
        <f>IF(Qh&gt;0,IF(P53&gt;0,IF(Heizung,'WP1'!Z87,0)+IF(WW,Qww*EBF/3.6/8760,0),0),)</f>
        <v>0</v>
      </c>
      <c r="P53" s="1114"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5"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x14ac:dyDescent="0.2">
      <c r="N54" s="276">
        <v>3</v>
      </c>
      <c r="O54" s="1113">
        <f>IF(Qh&gt;0,IF(P54&gt;0,IF(Heizung,'WP1'!Z88,0)+IF(WW,Qww*EBF/3.6/8760,0),0),)</f>
        <v>0</v>
      </c>
      <c r="P54" s="1114"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5"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x14ac:dyDescent="0.2">
      <c r="M55" s="873"/>
      <c r="N55" s="276">
        <v>4</v>
      </c>
      <c r="O55" s="1113">
        <f>IF(Qh&gt;0,IF(P55&gt;0,IF(Heizung,'WP1'!Z89,0)+IF(WW,Qww*EBF/3.6/8760,0),0),)</f>
        <v>0</v>
      </c>
      <c r="P55" s="1114"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5"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x14ac:dyDescent="0.2">
      <c r="N56" s="276">
        <v>5</v>
      </c>
      <c r="O56" s="1113">
        <f>IF(Qh&gt;0,IF(P56&gt;0,IF(Heizung,'WP1'!Z90,0)+IF(WW,Qww*EBF/3.6/8760,0),0),)</f>
        <v>0</v>
      </c>
      <c r="P56" s="1114"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5"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x14ac:dyDescent="0.2">
      <c r="N57" s="276">
        <v>6</v>
      </c>
      <c r="O57" s="1113">
        <f>IF(Qh&gt;0,IF(P57&gt;0,IF(Heizung,'WP1'!Z91,0)+IF(WW,Qww*EBF/3.6/8760,0),0),)</f>
        <v>0</v>
      </c>
      <c r="P57" s="1114"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5"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x14ac:dyDescent="0.2">
      <c r="N58" s="276">
        <v>7</v>
      </c>
      <c r="O58" s="1113">
        <f>IF(Qh&gt;0,IF(P58&gt;0,IF(Heizung,'WP1'!Z92,0)+IF(WW,Qww*EBF/3.6/8760,0),0),)</f>
        <v>0</v>
      </c>
      <c r="P58" s="1114"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5"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x14ac:dyDescent="0.2">
      <c r="N59" s="276">
        <v>8</v>
      </c>
      <c r="O59" s="1113">
        <f>IF(Qh&gt;0,IF(P59&gt;0,IF(Heizung,'WP1'!Z93,0)+IF(WW,Qww*EBF/3.6/8760,0),0),)</f>
        <v>0</v>
      </c>
      <c r="P59" s="1114">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5"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x14ac:dyDescent="0.2">
      <c r="N60" s="276">
        <v>9</v>
      </c>
      <c r="O60" s="1113">
        <f>IF(Qh&gt;0,IF(P60&gt;0,IF(Heizung,'WP1'!Z94,0)+IF(WW,Qww*EBF/3.6/8760,0),0),)</f>
        <v>0</v>
      </c>
      <c r="P60" s="1114">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5"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x14ac:dyDescent="0.2">
      <c r="N61" s="276">
        <v>10</v>
      </c>
      <c r="O61" s="1113">
        <f>IF(Qh&gt;0,IF(P61&gt;0,IF(Heizung,'WP1'!Z95,0)+IF(WW,Qww*EBF/3.6/8760,0),0),)</f>
        <v>0</v>
      </c>
      <c r="P61" s="1114">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5"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x14ac:dyDescent="0.2">
      <c r="N62" s="276">
        <v>11</v>
      </c>
      <c r="O62" s="1113">
        <f>IF(Qh&gt;0,IF(P62&gt;0,IF(Heizung,'WP1'!Z96,0)+IF(WW,Qww*EBF/3.6/8760,0),0),)</f>
        <v>0</v>
      </c>
      <c r="P62" s="1114">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5"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x14ac:dyDescent="0.2">
      <c r="N63" s="276">
        <v>12</v>
      </c>
      <c r="O63" s="1113">
        <f>IF(Qh&gt;0,IF(P63&gt;0,IF(Heizung,'WP1'!Z97,0)+IF(WW,Qww*EBF/3.6/8760,0),0),)</f>
        <v>0</v>
      </c>
      <c r="P63" s="1114">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5"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x14ac:dyDescent="0.2">
      <c r="N64" s="276">
        <v>13</v>
      </c>
      <c r="O64" s="1113">
        <f>IF(Qh&gt;0,IF(P64&gt;0,IF(Heizung,'WP1'!Z98,0)+IF(WW,Qww*EBF/3.6/8760,0),0),)</f>
        <v>0</v>
      </c>
      <c r="P64" s="1114">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5"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x14ac:dyDescent="0.2">
      <c r="N65" s="276">
        <v>14</v>
      </c>
      <c r="O65" s="1113">
        <f>IF(Qh&gt;0,IF(P65&gt;0,IF(Heizung,'WP1'!Z99,0)+IF(WW,Qww*EBF/3.6/8760,0),0),)</f>
        <v>0</v>
      </c>
      <c r="P65" s="1114">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5"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x14ac:dyDescent="0.2">
      <c r="N66" s="276">
        <v>15</v>
      </c>
      <c r="O66" s="1113">
        <f>IF(Qh&gt;0,IF(P66&gt;0,IF(Heizung,'WP1'!Z100,0)+IF(WW,Qww*EBF/3.6/8760,0),0),)</f>
        <v>0</v>
      </c>
      <c r="P66" s="1114">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5"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x14ac:dyDescent="0.2">
      <c r="N67" s="276">
        <v>16</v>
      </c>
      <c r="O67" s="1113">
        <f>IF(Qh&gt;0,IF(P67&gt;0,IF(Heizung,'WP1'!Z101,0)+IF(WW,Qww*EBF/3.6/8760,0),0),)</f>
        <v>0</v>
      </c>
      <c r="P67" s="1114">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5"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x14ac:dyDescent="0.2">
      <c r="N68" s="276">
        <v>17</v>
      </c>
      <c r="O68" s="1113">
        <f>IF(Qh&gt;0,IF(P68&gt;0,IF(Heizung,'WP1'!Z102,0)+IF(WW,Qww*EBF/3.6/8760,0),0),)</f>
        <v>0</v>
      </c>
      <c r="P68" s="1114">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5"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x14ac:dyDescent="0.2">
      <c r="N69" s="276">
        <v>18</v>
      </c>
      <c r="O69" s="1113">
        <f>IF(Qh&gt;0,IF(P69&gt;0,IF(Heizung,'WP1'!Z103,0)+IF(WW,Qww*EBF/3.6/8760,0),0),)</f>
        <v>0</v>
      </c>
      <c r="P69" s="1114">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5"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x14ac:dyDescent="0.2">
      <c r="N70" s="276">
        <v>19</v>
      </c>
      <c r="O70" s="1113">
        <f>IF(Qh&gt;0,IF(P70&gt;0,IF(Heizung,'WP1'!Z104,0)+IF(WW,Qww*EBF/3.6/8760,0),0),)</f>
        <v>0</v>
      </c>
      <c r="P70" s="1114">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5"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x14ac:dyDescent="0.2">
      <c r="N71" s="276">
        <v>20</v>
      </c>
      <c r="O71" s="1113">
        <f>IF(Qh&gt;0,IF(P71&gt;0,IF(Heizung,'WP1'!Z105,0)+IF(WW,Qww*EBF/3.6/8760,0),0),)</f>
        <v>0</v>
      </c>
      <c r="P71" s="1114">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5"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x14ac:dyDescent="0.2">
      <c r="N72" s="276">
        <v>21</v>
      </c>
      <c r="O72" s="1113">
        <f>IF(Qh&gt;0,IF(P72&gt;0,IF(Heizung,'WP1'!Z106,0)+IF(WW,Qww*EBF/3.6/8760,0),0),)</f>
        <v>0</v>
      </c>
      <c r="P72" s="1114">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5"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x14ac:dyDescent="0.2">
      <c r="N73" s="276">
        <v>22</v>
      </c>
      <c r="O73" s="1113">
        <f>IF(Qh&gt;0,IF(P73&gt;0,IF(Heizung,'WP1'!Z107,0)+IF(WW,Qww*EBF/3.6/8760,0),0),)</f>
        <v>0</v>
      </c>
      <c r="P73" s="1114">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5"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x14ac:dyDescent="0.2">
      <c r="N74" s="276">
        <v>23</v>
      </c>
      <c r="O74" s="1113">
        <f>IF(Qh&gt;0,IF(P74&gt;0,IF(Heizung,'WP1'!Z108,0)+IF(WW,Qww*EBF/3.6/8760,0),0),)</f>
        <v>0</v>
      </c>
      <c r="P74" s="1114">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5"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x14ac:dyDescent="0.2">
      <c r="N75" s="276">
        <v>24</v>
      </c>
      <c r="O75" s="1113">
        <f>IF(Qh&gt;0,IF(P75&gt;0,IF(Heizung,'WP1'!Z109,0)+IF(WW,Qww*EBF/3.6/8760,0),0),)</f>
        <v>0</v>
      </c>
      <c r="P75" s="1114">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5"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x14ac:dyDescent="0.2">
      <c r="N76" s="276">
        <v>25</v>
      </c>
      <c r="O76" s="1113">
        <f>IF(Qh&gt;0,IF(P76&gt;0,IF(Heizung,'WP1'!Z110,0)+IF(WW,Qww*EBF/3.6/8760,0),0),)</f>
        <v>0</v>
      </c>
      <c r="P76" s="1114">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5"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x14ac:dyDescent="0.2">
      <c r="N77" s="276">
        <v>26</v>
      </c>
      <c r="O77" s="1113">
        <f>IF(Qh&gt;0,IF(P77&gt;0,IF(Heizung,'WP1'!Z111,0)+IF(WW,Qww*EBF/3.6/8760,0),0),)</f>
        <v>0</v>
      </c>
      <c r="P77" s="1114">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5"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x14ac:dyDescent="0.2">
      <c r="N78" s="276">
        <v>27</v>
      </c>
      <c r="O78" s="1113">
        <f>IF(Qh&gt;0,IF(P78&gt;0,IF(Heizung,'WP1'!Z112,0)+IF(WW,Qww*EBF/3.6/8760,0),0),)</f>
        <v>0</v>
      </c>
      <c r="P78" s="1114">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5"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x14ac:dyDescent="0.2">
      <c r="D79" s="5"/>
      <c r="E79" s="5"/>
      <c r="N79" s="276">
        <v>28</v>
      </c>
      <c r="O79" s="1113">
        <f>IF(Qh&gt;0,IF(P79&gt;0,IF(Heizung,'WP1'!Z113,0)+IF(WW,Qww*EBF/3.6/8760,0),0),)</f>
        <v>0</v>
      </c>
      <c r="P79" s="1114">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5"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x14ac:dyDescent="0.2">
      <c r="D80" s="5"/>
      <c r="N80" s="276">
        <v>29</v>
      </c>
      <c r="O80" s="1113">
        <f>IF(Qh&gt;0,IF(P80&gt;0,IF(Heizung,'WP1'!Z114,0)+IF(WW,Qww*EBF/3.6/8760,0),0),)</f>
        <v>0</v>
      </c>
      <c r="P80" s="1114">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5"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x14ac:dyDescent="0.2">
      <c r="D81" s="5"/>
      <c r="N81" s="276">
        <v>30</v>
      </c>
      <c r="O81" s="1113">
        <f>IF(Qh&gt;0,IF(P81&gt;0,IF(Heizung,'WP1'!Z115,0)+IF(WW,Qww*EBF/3.6/8760,0),0),)</f>
        <v>0</v>
      </c>
      <c r="P81" s="1114">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5"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x14ac:dyDescent="0.2">
      <c r="D82" s="5"/>
      <c r="N82" s="276">
        <v>31</v>
      </c>
      <c r="O82" s="1113">
        <f>IF(Qh&gt;0,IF(P82&gt;0,IF(Heizung,'WP1'!Z116,0)+IF(WW,Qww*EBF/3.6/8760,0),0),)</f>
        <v>0</v>
      </c>
      <c r="P82" s="1114">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5"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x14ac:dyDescent="0.2">
      <c r="D83" s="5"/>
      <c r="N83" s="276">
        <v>32</v>
      </c>
      <c r="O83" s="1113">
        <f>IF(Qh&gt;0,IF(P83&gt;0,IF(Heizung,'WP1'!Z117,0)+IF(WW,Qww*EBF/3.6/8760,0),0),)</f>
        <v>0</v>
      </c>
      <c r="P83" s="1114">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5"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x14ac:dyDescent="0.2">
      <c r="N84" s="276">
        <v>33</v>
      </c>
      <c r="O84" s="1113">
        <f>IF(Qh&gt;0,IF(P84&gt;0,IF(Heizung,'WP1'!Z118,0)+IF(WW,Qww*EBF/3.6/8760,0),0),)</f>
        <v>0</v>
      </c>
      <c r="P84" s="1114">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5"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x14ac:dyDescent="0.2">
      <c r="N85" s="276">
        <v>34</v>
      </c>
      <c r="O85" s="1113">
        <f>IF(Qh&gt;0,IF(P85&gt;0,IF(Heizung,'WP1'!Z119,0)+IF(WW,Qww*EBF/3.6/8760,0),0),)</f>
        <v>0</v>
      </c>
      <c r="P85" s="1114">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5"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x14ac:dyDescent="0.2">
      <c r="N86" s="276">
        <v>35</v>
      </c>
      <c r="O86" s="1113">
        <f>IF(Qh&gt;0,IF(P86&gt;0,IF(Heizung,'WP1'!Z120,0)+IF(WW,Qww*EBF/3.6/8760,0),0),)</f>
        <v>0</v>
      </c>
      <c r="P86" s="1114">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5"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x14ac:dyDescent="0.2">
      <c r="N87" s="276">
        <v>36</v>
      </c>
      <c r="O87" s="1113">
        <f>IF(Qh&gt;0,IF(P87&gt;0,IF(Heizung,'WP1'!Z121,0)+IF(WW,Qww*EBF/3.6/8760,0),0),)</f>
        <v>0</v>
      </c>
      <c r="P87" s="1114">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5"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x14ac:dyDescent="0.2">
      <c r="N88" s="276">
        <v>37</v>
      </c>
      <c r="O88" s="1113">
        <f>IF(Qh&gt;0,IF(P88&gt;0,IF(Heizung,'WP1'!Z122,0)+IF(WW,Qww*EBF/3.6/8760,0),0),)</f>
        <v>0</v>
      </c>
      <c r="P88" s="1114">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5"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x14ac:dyDescent="0.2">
      <c r="N89" s="276">
        <v>38</v>
      </c>
      <c r="O89" s="1113">
        <f>IF(Qh&gt;0,IF(P89&gt;0,IF(Heizung,'WP1'!Z123,0)+IF(WW,Qww*EBF/3.6/8760,0),0),)</f>
        <v>0</v>
      </c>
      <c r="P89" s="1114">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5"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x14ac:dyDescent="0.2">
      <c r="N90" s="276">
        <v>39</v>
      </c>
      <c r="O90" s="1113">
        <f>IF(Qh&gt;0,IF(P90&gt;0,IF(Heizung,'WP1'!Z124,0)+IF(WW,Qww*EBF/3.6/8760,0),0),)</f>
        <v>0</v>
      </c>
      <c r="P90" s="1114">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5"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x14ac:dyDescent="0.2">
      <c r="N91" s="276">
        <v>40</v>
      </c>
      <c r="O91" s="1113">
        <f>IF(Qh&gt;0,IF(P91&gt;0,IF(Heizung,'WP1'!Z125,0)+IF(WW,Qww*EBF/3.6/8760,0),0),)</f>
        <v>0</v>
      </c>
      <c r="P91" s="1114">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5"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x14ac:dyDescent="0.2">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x14ac:dyDescent="0.2">
      <c r="N93" s="281" t="s">
        <v>3951</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x14ac:dyDescent="0.2">
      <c r="D94" s="284"/>
      <c r="E94" s="285"/>
      <c r="G94" s="285"/>
      <c r="I94" s="286"/>
      <c r="M94" s="850"/>
    </row>
    <row r="95" spans="4:32" x14ac:dyDescent="0.2">
      <c r="F95" s="258"/>
      <c r="M95" s="850"/>
    </row>
    <row r="96" spans="4:32" x14ac:dyDescent="0.2">
      <c r="M96" s="850"/>
    </row>
    <row r="97" spans="13:13" x14ac:dyDescent="0.2">
      <c r="M97" s="850"/>
    </row>
    <row r="98" spans="13:13" x14ac:dyDescent="0.2">
      <c r="M98" s="850"/>
    </row>
    <row r="99" spans="13:13" x14ac:dyDescent="0.2">
      <c r="M99" s="850"/>
    </row>
    <row r="100" spans="13:13" x14ac:dyDescent="0.2">
      <c r="M100" s="850"/>
    </row>
    <row r="101" spans="13:13" x14ac:dyDescent="0.2">
      <c r="M101" s="850"/>
    </row>
    <row r="102" spans="13:13" x14ac:dyDescent="0.2">
      <c r="M102" s="850"/>
    </row>
    <row r="103" spans="13:13" x14ac:dyDescent="0.2">
      <c r="M103" s="851"/>
    </row>
    <row r="104" spans="13:13" x14ac:dyDescent="0.2">
      <c r="M104" s="851"/>
    </row>
    <row r="125" ht="1.9" customHeight="1" x14ac:dyDescent="0.2"/>
    <row r="126" ht="25.9" customHeight="1" x14ac:dyDescent="0.2"/>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0" zoomScaleNormal="100" workbookViewId="0">
      <selection activeCell="AT10" sqref="AT10"/>
    </sheetView>
  </sheetViews>
  <sheetFormatPr baseColWidth="10" defaultColWidth="11.5703125" defaultRowHeight="12" x14ac:dyDescent="0.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x14ac:dyDescent="0.2">
      <c r="A1" s="1"/>
      <c r="E1" s="3"/>
      <c r="F1" s="3"/>
      <c r="G1" s="3"/>
      <c r="H1" s="4"/>
      <c r="I1" s="248"/>
      <c r="J1" s="248"/>
    </row>
    <row r="2" spans="1:41" ht="22.15" customHeight="1" x14ac:dyDescent="0.2">
      <c r="A2" s="1"/>
      <c r="B2" s="2" t="str">
        <f>Sprache!B289</f>
        <v>PAC, spécifications individuelles</v>
      </c>
      <c r="C2" s="2"/>
      <c r="D2" s="2"/>
      <c r="I2" s="1307" t="str">
        <f>Sprache!B8</f>
        <v>WPesti / V 8.3.38 / 19.12.2025                valable jusqu'à 31.12.2026</v>
      </c>
      <c r="J2" s="1307"/>
      <c r="L2" s="524" t="s">
        <v>2695</v>
      </c>
    </row>
    <row r="3" spans="1:41" ht="3.75" customHeight="1" x14ac:dyDescent="0.2">
      <c r="B3" s="4"/>
      <c r="C3" s="4"/>
      <c r="D3" s="4"/>
      <c r="E3" s="31"/>
      <c r="F3" s="31"/>
      <c r="G3" s="31"/>
      <c r="H3" s="4"/>
      <c r="I3" s="4"/>
      <c r="J3" s="4"/>
      <c r="L3" s="287"/>
    </row>
    <row r="4" spans="1:41" ht="15" customHeight="1" x14ac:dyDescent="0.25">
      <c r="B4" s="85" t="str">
        <f>Sprache!B290</f>
        <v>Données de la PAC</v>
      </c>
      <c r="C4" s="495"/>
      <c r="D4" s="495"/>
      <c r="E4" s="779"/>
      <c r="F4" s="86"/>
      <c r="G4" s="86"/>
      <c r="H4" s="34"/>
      <c r="I4" s="494"/>
      <c r="J4" s="87"/>
      <c r="K4" s="19"/>
      <c r="L4" s="524"/>
      <c r="M4" s="469" t="s">
        <v>4464</v>
      </c>
      <c r="N4" s="551">
        <f>IF(WPArt&lt;&gt;6,MAX(F9:H9),'WP1'!W52)</f>
        <v>0</v>
      </c>
      <c r="O4" s="35" t="s">
        <v>3650</v>
      </c>
      <c r="Q4" s="232"/>
      <c r="R4" s="16"/>
      <c r="S4" s="22" t="s">
        <v>1829</v>
      </c>
      <c r="V4" s="5" t="s">
        <v>875</v>
      </c>
      <c r="X4" s="15"/>
      <c r="AI4" s="5" t="s">
        <v>1815</v>
      </c>
    </row>
    <row r="5" spans="1:41" ht="15" customHeight="1" x14ac:dyDescent="0.2">
      <c r="B5" s="500" t="str">
        <f>Sprache!B23</f>
        <v>Nom et type de PAC</v>
      </c>
      <c r="C5" s="501"/>
      <c r="D5" s="501"/>
      <c r="E5" s="1320"/>
      <c r="F5" s="1320"/>
      <c r="G5" s="1320"/>
      <c r="H5" s="1320"/>
      <c r="I5" s="1320"/>
      <c r="J5" s="1321"/>
      <c r="K5" s="19"/>
      <c r="L5" s="287" t="b">
        <f>IF(E5&lt;&gt;"",TRUE,FALSE)</f>
        <v>0</v>
      </c>
      <c r="M5" s="469" t="s">
        <v>4465</v>
      </c>
      <c r="N5" s="551">
        <f>IF(WPArt&lt;&gt;6,MAX(F9:H9),'WP1'!W52)</f>
        <v>0</v>
      </c>
      <c r="O5" s="35" t="s">
        <v>3650</v>
      </c>
      <c r="Q5" s="238" t="str">
        <f>Sprache!B322</f>
        <v>inclus dans le COP</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x14ac:dyDescent="0.2">
      <c r="B6" s="771" t="str">
        <f>Sprache!B291</f>
        <v>Données de puissance de la PAC</v>
      </c>
      <c r="C6" s="499"/>
      <c r="D6" s="215" t="str">
        <f>Sprache!B292</f>
        <v>Pompes:</v>
      </c>
      <c r="E6" s="781" t="str">
        <f>Sprache!B293</f>
        <v>Consenseur</v>
      </c>
      <c r="F6" s="1312"/>
      <c r="G6" s="1312"/>
      <c r="H6" s="781" t="str">
        <f>IF(WPArt=2,"Ventilator:",Sprache!B294)</f>
        <v>Evaporateur</v>
      </c>
      <c r="I6" s="1312"/>
      <c r="J6" s="1313"/>
      <c r="L6" s="287"/>
      <c r="M6" s="4"/>
      <c r="N6" s="4"/>
      <c r="O6" s="4"/>
      <c r="Q6" s="26" t="str">
        <f>Sprache!B323</f>
        <v>non calculé</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x14ac:dyDescent="0.2">
      <c r="B7" s="92"/>
      <c r="D7" s="250"/>
      <c r="F7" s="1103" t="str">
        <f>Sprache!B296</f>
        <v>Données introduites en ordre croissant selon la température de la source</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x14ac:dyDescent="0.2">
      <c r="B8" s="528" t="str">
        <f>Sprache!B112</f>
        <v>Chauffage</v>
      </c>
      <c r="C8" s="169" t="str">
        <f>Sprache!B297</f>
        <v>T Dep</v>
      </c>
      <c r="D8" s="1104" t="str">
        <f>Sprache!B301</f>
        <v>Température de la source de chaleur:</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3872</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x14ac:dyDescent="0.2">
      <c r="B9" s="66"/>
      <c r="C9" s="496" t="s">
        <v>2948</v>
      </c>
      <c r="D9" s="1046" t="str">
        <f>Sprache!B299</f>
        <v>Puissance therm.</v>
      </c>
      <c r="E9" s="498" t="s">
        <v>3650</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x14ac:dyDescent="0.2">
      <c r="B10" s="502" t="str">
        <f>C8&amp;" "&amp;C10&amp;" "&amp;C9</f>
        <v>T Dep  °C</v>
      </c>
      <c r="C10" s="761"/>
      <c r="D10" s="497" t="str">
        <f>Sprache!B300</f>
        <v>COP</v>
      </c>
      <c r="E10" s="498" t="s">
        <v>721</v>
      </c>
      <c r="F10" s="529"/>
      <c r="G10" s="529"/>
      <c r="H10" s="529"/>
      <c r="I10" s="529"/>
      <c r="J10" s="530"/>
      <c r="L10" s="287"/>
      <c r="S10" s="469" t="s">
        <v>3882</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x14ac:dyDescent="0.2">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x14ac:dyDescent="0.2">
      <c r="B12" s="1318" t="str">
        <f>Sprache!B113</f>
        <v>ECS eau chaude sanitaire</v>
      </c>
      <c r="C12" s="169" t="str">
        <f>Sprache!B297</f>
        <v>T Dep</v>
      </c>
      <c r="D12" s="1104" t="str">
        <f>Sprache!B301</f>
        <v>Température de la source de chaleur:</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3872</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x14ac:dyDescent="0.2">
      <c r="B13" s="1319"/>
      <c r="C13" s="496" t="s">
        <v>2948</v>
      </c>
      <c r="D13" s="1046" t="str">
        <f>Sprache!B299</f>
        <v>Puissance therm.</v>
      </c>
      <c r="E13" s="498" t="s">
        <v>3650</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x14ac:dyDescent="0.2">
      <c r="B14" s="109" t="str">
        <f>C12&amp;" "&amp;L14&amp;" "&amp;C13</f>
        <v>T Dep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x14ac:dyDescent="0.2">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x14ac:dyDescent="0.2">
      <c r="E16" s="5"/>
      <c r="F16" s="5"/>
      <c r="G16" s="5"/>
      <c r="K16" s="19"/>
      <c r="M16" s="769"/>
      <c r="N16" s="773" t="s">
        <v>1818</v>
      </c>
      <c r="O16" s="772"/>
      <c r="P16" s="95"/>
      <c r="Q16" s="95"/>
      <c r="R16" s="88"/>
      <c r="V16" s="5" t="s">
        <v>3873</v>
      </c>
      <c r="AI16" s="20">
        <v>41</v>
      </c>
      <c r="AJ16" s="20"/>
      <c r="AK16" s="20">
        <f t="shared" si="4"/>
        <v>6</v>
      </c>
      <c r="AL16" s="5">
        <f t="shared" si="0"/>
        <v>6</v>
      </c>
      <c r="AM16" s="5">
        <f t="shared" si="1"/>
        <v>6</v>
      </c>
      <c r="AN16" s="5">
        <f t="shared" si="2"/>
        <v>6</v>
      </c>
      <c r="AO16" s="21">
        <f t="shared" si="3"/>
        <v>6</v>
      </c>
    </row>
    <row r="17" spans="2:41" x14ac:dyDescent="0.2">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3875</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x14ac:dyDescent="0.2">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3874</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x14ac:dyDescent="0.25">
      <c r="E19" s="5"/>
      <c r="F19" s="5"/>
      <c r="G19" s="5"/>
      <c r="K19" s="19"/>
      <c r="M19" s="780" t="s">
        <v>2558</v>
      </c>
      <c r="N19" s="11" t="s">
        <v>2559</v>
      </c>
      <c r="O19" s="11">
        <f>IF(WPArt=4,10,0)</f>
        <v>0</v>
      </c>
      <c r="P19" s="55" t="s">
        <v>2948</v>
      </c>
      <c r="Q19" s="55"/>
      <c r="R19" s="88"/>
      <c r="U19" s="615"/>
      <c r="V19" s="616"/>
      <c r="W19" s="505" t="s">
        <v>3876</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x14ac:dyDescent="0.2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3877</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x14ac:dyDescent="0.2">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x14ac:dyDescent="0.2">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x14ac:dyDescent="0.2">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3878</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x14ac:dyDescent="0.2">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x14ac:dyDescent="0.2">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x14ac:dyDescent="0.2">
      <c r="E26" s="5"/>
      <c r="F26" s="5"/>
      <c r="G26" s="5"/>
      <c r="M26" s="750"/>
      <c r="N26" s="1215" t="s">
        <v>2027</v>
      </c>
      <c r="O26" s="1216"/>
      <c r="P26" s="1215" t="s">
        <v>2028</v>
      </c>
      <c r="Q26" s="1216"/>
      <c r="U26" s="625"/>
      <c r="V26" s="618" t="s">
        <v>3878</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x14ac:dyDescent="0.2">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x14ac:dyDescent="0.2">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x14ac:dyDescent="0.2">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x14ac:dyDescent="0.25">
      <c r="B30" s="85" t="str">
        <f>Sprache!B302</f>
        <v>Pompe de la source</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x14ac:dyDescent="0.2">
      <c r="B31" s="500" t="str">
        <f>Sprache!B303</f>
        <v>Nom et type de la pompe</v>
      </c>
      <c r="C31" s="501"/>
      <c r="D31" s="501"/>
      <c r="E31" s="1314"/>
      <c r="F31" s="1314"/>
      <c r="G31" s="1314"/>
      <c r="H31" s="1314"/>
      <c r="I31" s="1314"/>
      <c r="J31" s="1315"/>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x14ac:dyDescent="0.2">
      <c r="B32" s="100" t="str">
        <f>Sprache!B304</f>
        <v xml:space="preserve">Courant absorbé de la pompe à plein régime </v>
      </c>
      <c r="C32" s="103"/>
      <c r="D32" s="103"/>
      <c r="E32" s="511"/>
      <c r="F32" s="511"/>
      <c r="G32" s="757" t="str">
        <f>Sprache!B310</f>
        <v>Valeur de calcul</v>
      </c>
      <c r="H32" s="760">
        <f>MAX(J32,J34*J33/3.6/0.5+J35*9.81/3.6*J34/0.5)</f>
        <v>0</v>
      </c>
      <c r="I32" s="116" t="s">
        <v>724</v>
      </c>
      <c r="J32" s="759"/>
      <c r="L32" s="287" t="b">
        <f>IF(J32&lt;&gt;"",TRUE,FALSE)</f>
        <v>0</v>
      </c>
      <c r="M32" s="143" t="s">
        <v>3503</v>
      </c>
      <c r="N32" s="1316" t="e">
        <f>INDEX(N28:Q31,stufig,(MAX(Q25,2)-2)*2+(MAX(P25,2)-2)+1)</f>
        <v>#VALUE!</v>
      </c>
      <c r="O32" s="1317"/>
      <c r="P32" s="5" t="s">
        <v>3666</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x14ac:dyDescent="0.2">
      <c r="B33" s="100" t="str">
        <f>Sprache!B305</f>
        <v>Perte de charge dynamique à plein régime</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x14ac:dyDescent="0.2">
      <c r="B34" s="100" t="str">
        <f>Sprache!B306</f>
        <v>Débit à plein régime</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x14ac:dyDescent="0.2">
      <c r="B35" s="100" t="str">
        <f>Sprache!B307</f>
        <v>Hauteur statique</v>
      </c>
      <c r="C35" s="103"/>
      <c r="D35" s="103"/>
      <c r="E35" s="511"/>
      <c r="F35" s="511"/>
      <c r="G35" s="97"/>
      <c r="H35" s="102"/>
      <c r="I35" s="116" t="s">
        <v>722</v>
      </c>
      <c r="J35" s="759"/>
      <c r="L35" s="287" t="b">
        <f>IF(J35&lt;&gt;"",TRUE,FALSE)</f>
        <v>0</v>
      </c>
      <c r="M35" s="750"/>
      <c r="N35" s="1215" t="s">
        <v>2027</v>
      </c>
      <c r="O35" s="1216"/>
      <c r="P35" s="1215" t="s">
        <v>2028</v>
      </c>
      <c r="Q35" s="1216"/>
      <c r="AE35"/>
      <c r="AI35" s="20">
        <v>60</v>
      </c>
      <c r="AJ35" s="20"/>
      <c r="AK35" s="20">
        <f t="shared" si="4"/>
        <v>25</v>
      </c>
      <c r="AL35" s="5">
        <f t="shared" si="0"/>
        <v>25</v>
      </c>
      <c r="AM35" s="5">
        <f t="shared" si="1"/>
        <v>25</v>
      </c>
      <c r="AN35" s="5">
        <f t="shared" si="2"/>
        <v>25</v>
      </c>
      <c r="AO35" s="21">
        <f t="shared" si="3"/>
        <v>25</v>
      </c>
    </row>
    <row r="36" spans="2:41" ht="15" customHeight="1" x14ac:dyDescent="0.2">
      <c r="B36" s="100" t="str">
        <f>Sprache!B308</f>
        <v>Mode d'exploitation</v>
      </c>
      <c r="C36" s="103"/>
      <c r="D36" s="103"/>
      <c r="E36" s="511"/>
      <c r="F36" s="511"/>
      <c r="G36" s="97"/>
      <c r="H36" s="1322"/>
      <c r="I36" s="1323"/>
      <c r="J36" s="1324"/>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x14ac:dyDescent="0.2">
      <c r="B37" s="205" t="str">
        <f>Sprache!B309</f>
        <v>Régulation</v>
      </c>
      <c r="C37" s="517"/>
      <c r="D37" s="517"/>
      <c r="E37" s="518"/>
      <c r="F37" s="518"/>
      <c r="G37" s="519"/>
      <c r="H37" s="1328"/>
      <c r="I37" s="1329"/>
      <c r="J37" s="1330"/>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x14ac:dyDescent="0.2">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x14ac:dyDescent="0.25">
      <c r="B39" s="85" t="str">
        <f>Sprache!B314</f>
        <v>Pompe de l'évaporateur ou ventilateur</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x14ac:dyDescent="0.2">
      <c r="B40" s="500" t="str">
        <f>Sprache!B303</f>
        <v>Nom et type de la pompe</v>
      </c>
      <c r="C40" s="501"/>
      <c r="D40" s="501"/>
      <c r="E40" s="1314"/>
      <c r="F40" s="1314"/>
      <c r="G40" s="1314"/>
      <c r="H40" s="1314"/>
      <c r="I40" s="1314"/>
      <c r="J40" s="1315"/>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x14ac:dyDescent="0.2">
      <c r="B41" s="100" t="str">
        <f>Sprache!B315</f>
        <v xml:space="preserve">Courant absorbé de la pompe / ventilateur à plein régime </v>
      </c>
      <c r="C41" s="103"/>
      <c r="D41" s="103"/>
      <c r="E41" s="511"/>
      <c r="F41" s="511"/>
      <c r="G41" s="757" t="str">
        <f>Sprache!B310</f>
        <v>Valeur de calcul</v>
      </c>
      <c r="H41" s="760">
        <f>IF(EBF&gt;0,IF(J41&gt;0,MAX(J41,J43*J42/3.6/0.5),MAX(H42*H43/3.6/0.25,40)),)</f>
        <v>0</v>
      </c>
      <c r="I41" s="116" t="s">
        <v>724</v>
      </c>
      <c r="J41" s="759"/>
      <c r="L41" s="287" t="b">
        <f>IF(J41&lt;&gt;"",TRUE,FALSE)</f>
        <v>0</v>
      </c>
      <c r="M41" s="143" t="s">
        <v>3503</v>
      </c>
      <c r="N41" s="1316" t="e">
        <f>INDEX(N37:Q40,stufig,(MAX(Q34,2)-2)*2+(MAX(P34,2)-2)+1)</f>
        <v>#VALUE!</v>
      </c>
      <c r="O41" s="1317"/>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x14ac:dyDescent="0.2">
      <c r="B42" s="100" t="str">
        <f>Sprache!B316</f>
        <v>Perte de charge à l'évaporateur</v>
      </c>
      <c r="C42" s="103"/>
      <c r="D42" s="103"/>
      <c r="E42" s="511"/>
      <c r="F42" s="511"/>
      <c r="G42" s="757" t="str">
        <f>Sprache!B311</f>
        <v>Valeur estimée</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x14ac:dyDescent="0.2">
      <c r="B43" s="100" t="str">
        <f>Sprache!B317</f>
        <v>Débit à l'évaporateur</v>
      </c>
      <c r="C43" s="103"/>
      <c r="D43" s="103"/>
      <c r="E43" s="511"/>
      <c r="F43" s="511"/>
      <c r="G43" s="757" t="str">
        <f>Sprache!B312</f>
        <v>Valeur estimée selon feuille PAC</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x14ac:dyDescent="0.2">
      <c r="B44" s="100" t="str">
        <f>Sprache!B308</f>
        <v>Mode d'exploitation</v>
      </c>
      <c r="C44" s="103"/>
      <c r="D44" s="103"/>
      <c r="E44" s="511"/>
      <c r="F44" s="511"/>
      <c r="G44" s="97"/>
      <c r="H44" s="1322"/>
      <c r="I44" s="1323"/>
      <c r="J44" s="1324"/>
      <c r="L44" s="287" t="b">
        <f>IF(H44&lt;&gt;"",TRUE,FALSE)</f>
        <v>0</v>
      </c>
      <c r="M44" s="750"/>
      <c r="N44" s="1215" t="s">
        <v>1804</v>
      </c>
      <c r="O44" s="1216"/>
      <c r="P44" s="1215" t="s">
        <v>1805</v>
      </c>
      <c r="Q44" s="1216"/>
      <c r="R44" s="1215" t="s">
        <v>1803</v>
      </c>
      <c r="S44" s="1216"/>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x14ac:dyDescent="0.2">
      <c r="B45" s="205" t="str">
        <f>Sprache!B309</f>
        <v>Régulation</v>
      </c>
      <c r="C45" s="517"/>
      <c r="D45" s="517"/>
      <c r="E45" s="518"/>
      <c r="F45" s="518"/>
      <c r="G45" s="519"/>
      <c r="H45" s="1328"/>
      <c r="I45" s="1329"/>
      <c r="J45" s="1330"/>
      <c r="L45" s="287" t="b">
        <f>IF(H45&lt;&gt;"",TRUE,FALSE)</f>
        <v>0</v>
      </c>
      <c r="M45" s="751" t="s">
        <v>2019</v>
      </c>
      <c r="N45" s="752" t="b">
        <v>0</v>
      </c>
      <c r="O45" s="752" t="b">
        <v>1</v>
      </c>
      <c r="P45" s="752" t="b">
        <v>0</v>
      </c>
      <c r="Q45" s="752" t="b">
        <v>1</v>
      </c>
      <c r="R45" s="752" t="b">
        <v>0</v>
      </c>
      <c r="S45" s="752" t="b">
        <v>1</v>
      </c>
      <c r="V45" s="607" t="str">
        <f>Sprache!B324</f>
        <v>toujours en exploitation</v>
      </c>
      <c r="W45" s="607" t="str">
        <f>Sprache!B326</f>
        <v>non réglé</v>
      </c>
      <c r="X45" s="607" t="str">
        <f>Sprache!B328</f>
        <v>une vitesse</v>
      </c>
      <c r="AI45" s="20">
        <v>70</v>
      </c>
      <c r="AJ45" s="20"/>
      <c r="AK45" s="20" t="str">
        <f t="shared" si="9"/>
        <v/>
      </c>
      <c r="AL45" s="5" t="str">
        <f t="shared" si="0"/>
        <v/>
      </c>
      <c r="AM45" s="5" t="str">
        <f t="shared" si="1"/>
        <v/>
      </c>
      <c r="AN45" s="5" t="str">
        <f t="shared" si="2"/>
        <v/>
      </c>
      <c r="AO45" s="21" t="str">
        <f t="shared" si="3"/>
        <v/>
      </c>
    </row>
    <row r="46" spans="2:41" ht="15" customHeight="1" x14ac:dyDescent="0.2">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seulement en exploitation si la PAC est en service</v>
      </c>
      <c r="W46" s="607" t="str">
        <f>Sprache!B327</f>
        <v>réglé</v>
      </c>
      <c r="X46" s="607" t="str">
        <f>Sprache!B329</f>
        <v>2 vitesses</v>
      </c>
      <c r="AI46" s="20"/>
      <c r="AJ46" s="20"/>
      <c r="AK46" s="20" t="str">
        <f t="shared" si="9"/>
        <v/>
      </c>
      <c r="AL46" s="5" t="str">
        <f t="shared" si="0"/>
        <v/>
      </c>
      <c r="AM46" s="5" t="str">
        <f t="shared" si="1"/>
        <v/>
      </c>
      <c r="AN46" s="5" t="str">
        <f t="shared" si="2"/>
        <v/>
      </c>
      <c r="AO46" s="21" t="str">
        <f t="shared" si="3"/>
        <v/>
      </c>
    </row>
    <row r="47" spans="2:41" ht="18" customHeight="1" x14ac:dyDescent="0.25">
      <c r="B47" s="85" t="str">
        <f>Sprache!B318</f>
        <v>Pompe au condenseur</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réglé</v>
      </c>
      <c r="AI47" s="20"/>
      <c r="AJ47" s="20"/>
      <c r="AK47" s="20" t="str">
        <f t="shared" si="9"/>
        <v/>
      </c>
      <c r="AL47" s="5" t="str">
        <f t="shared" si="0"/>
        <v/>
      </c>
      <c r="AM47" s="5" t="str">
        <f t="shared" si="1"/>
        <v/>
      </c>
      <c r="AN47" s="5" t="str">
        <f t="shared" si="2"/>
        <v/>
      </c>
      <c r="AO47" s="21" t="str">
        <f t="shared" si="3"/>
        <v/>
      </c>
    </row>
    <row r="48" spans="2:41" ht="15" customHeight="1" x14ac:dyDescent="0.2">
      <c r="B48" s="500" t="str">
        <f>Sprache!B303</f>
        <v>Nom et type de la pompe</v>
      </c>
      <c r="C48" s="501"/>
      <c r="D48" s="501"/>
      <c r="E48" s="1314"/>
      <c r="F48" s="1314"/>
      <c r="G48" s="1314"/>
      <c r="H48" s="1314"/>
      <c r="I48" s="1314"/>
      <c r="J48" s="1315"/>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x14ac:dyDescent="0.2">
      <c r="B49" s="100" t="str">
        <f>Sprache!B319</f>
        <v>Courant absorbé par la pompe P1 à plein régime (seule la part du condenseur)</v>
      </c>
      <c r="C49" s="103"/>
      <c r="D49" s="103"/>
      <c r="E49" s="511"/>
      <c r="F49" s="511"/>
      <c r="G49" s="757" t="str">
        <f>Sprache!B310</f>
        <v>Valeur de calcul</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x14ac:dyDescent="0.2">
      <c r="B50" s="100" t="str">
        <f>Sprache!B320</f>
        <v>Perte de charge nominale au condenseur</v>
      </c>
      <c r="C50" s="103"/>
      <c r="D50" s="103"/>
      <c r="E50" s="511"/>
      <c r="F50" s="511"/>
      <c r="G50" s="757" t="str">
        <f>Sprache!B313</f>
        <v>Valeur effective</v>
      </c>
      <c r="H50" s="765">
        <f>IF(AND(J51&gt;0,J50&gt;0),J50/J51/J51*MAX(J51,H51)*MAX(J51,H51),MAX(J50,20))</f>
        <v>20</v>
      </c>
      <c r="I50" s="116" t="s">
        <v>2023</v>
      </c>
      <c r="J50" s="759"/>
      <c r="L50" s="287" t="b">
        <f>IF(J50&lt;&gt;"",TRUE,FALSE)</f>
        <v>0</v>
      </c>
      <c r="M50" s="143" t="s">
        <v>3503</v>
      </c>
      <c r="N50" s="1316" t="e">
        <f>INDEX(N46:S49,stufig,(MAX(R43,2)-2)*2+(MAX(P43,2)-2)+1)</f>
        <v>#VALUE!</v>
      </c>
      <c r="O50" s="1317"/>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x14ac:dyDescent="0.2">
      <c r="B51" s="100" t="str">
        <f>Sprache!B321</f>
        <v>Débit nominal au condenseur</v>
      </c>
      <c r="C51" s="103"/>
      <c r="D51" s="103"/>
      <c r="E51" s="511"/>
      <c r="F51" s="511"/>
      <c r="G51" s="757" t="str">
        <f>Sprache!B312</f>
        <v>Valeur estimée selon feuille PAC</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x14ac:dyDescent="0.2">
      <c r="B52" s="100" t="str">
        <f>Sprache!B308</f>
        <v>Mode d'exploitation</v>
      </c>
      <c r="C52" s="103"/>
      <c r="D52" s="103"/>
      <c r="E52" s="511"/>
      <c r="F52" s="511"/>
      <c r="G52" s="97"/>
      <c r="H52" s="1331"/>
      <c r="I52" s="1332"/>
      <c r="J52" s="1333"/>
      <c r="L52" s="287" t="b">
        <f>IF(H52&lt;&gt;"",TRUE,FALSE)</f>
        <v>0</v>
      </c>
      <c r="AI52" s="20"/>
      <c r="AJ52" s="20"/>
      <c r="AK52" s="20" t="str">
        <f t="shared" si="9"/>
        <v/>
      </c>
      <c r="AL52" s="5" t="str">
        <f t="shared" si="0"/>
        <v/>
      </c>
      <c r="AM52" s="5" t="str">
        <f t="shared" si="1"/>
        <v/>
      </c>
      <c r="AN52" s="5" t="str">
        <f t="shared" si="2"/>
        <v/>
      </c>
      <c r="AO52" s="21" t="str">
        <f t="shared" si="3"/>
        <v/>
      </c>
    </row>
    <row r="53" spans="2:41" ht="15" customHeight="1" x14ac:dyDescent="0.2">
      <c r="B53" s="205" t="str">
        <f>Sprache!B309</f>
        <v>Régulation</v>
      </c>
      <c r="C53" s="517"/>
      <c r="D53" s="517"/>
      <c r="E53" s="518"/>
      <c r="F53" s="518"/>
      <c r="G53" s="519"/>
      <c r="H53" s="1325"/>
      <c r="I53" s="1326"/>
      <c r="J53" s="1327"/>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x14ac:dyDescent="0.2">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x14ac:dyDescent="0.25">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x14ac:dyDescent="0.2">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x14ac:dyDescent="0.2">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x14ac:dyDescent="0.2">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x14ac:dyDescent="0.2">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x14ac:dyDescent="0.2">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x14ac:dyDescent="0.2">
      <c r="B61" s="297">
        <f t="shared" ref="B61:F64" si="11">N12</f>
        <v>0</v>
      </c>
      <c r="C61" s="297">
        <f t="shared" si="11"/>
        <v>0</v>
      </c>
      <c r="D61" s="297">
        <f t="shared" si="11"/>
        <v>0</v>
      </c>
      <c r="E61" s="297">
        <f t="shared" si="11"/>
        <v>0</v>
      </c>
      <c r="F61" s="297">
        <f t="shared" si="11"/>
        <v>0</v>
      </c>
      <c r="G61" s="1107"/>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x14ac:dyDescent="0.2">
      <c r="B62" s="297">
        <f t="shared" si="11"/>
        <v>0</v>
      </c>
      <c r="C62" s="297">
        <f t="shared" si="11"/>
        <v>0</v>
      </c>
      <c r="D62" s="297">
        <f t="shared" si="11"/>
        <v>0</v>
      </c>
      <c r="E62" s="297">
        <f t="shared" si="11"/>
        <v>0</v>
      </c>
      <c r="F62" s="297">
        <f t="shared" si="11"/>
        <v>0</v>
      </c>
      <c r="G62" s="1107"/>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x14ac:dyDescent="0.2">
      <c r="B63" s="297">
        <f t="shared" si="11"/>
        <v>0</v>
      </c>
      <c r="C63" s="297">
        <f t="shared" si="11"/>
        <v>0</v>
      </c>
      <c r="D63" s="297">
        <f t="shared" si="11"/>
        <v>0</v>
      </c>
      <c r="E63" s="297">
        <f t="shared" si="11"/>
        <v>0</v>
      </c>
      <c r="F63" s="297">
        <f t="shared" si="11"/>
        <v>0</v>
      </c>
      <c r="G63" s="1107"/>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x14ac:dyDescent="0.2">
      <c r="B64" s="297">
        <f t="shared" si="11"/>
        <v>0</v>
      </c>
      <c r="C64" s="297">
        <f t="shared" si="11"/>
        <v>0</v>
      </c>
      <c r="D64" s="297">
        <f t="shared" si="11"/>
        <v>0</v>
      </c>
      <c r="E64" s="297">
        <f t="shared" si="11"/>
        <v>0</v>
      </c>
      <c r="F64" s="297">
        <f t="shared" si="11"/>
        <v>0</v>
      </c>
      <c r="G64" s="1107"/>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x14ac:dyDescent="0.2">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x14ac:dyDescent="0.2">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x14ac:dyDescent="0.2">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x14ac:dyDescent="0.2">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x14ac:dyDescent="0.2">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x14ac:dyDescent="0.2">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x14ac:dyDescent="0.2">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x14ac:dyDescent="0.2">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x14ac:dyDescent="0.2">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x14ac:dyDescent="0.2">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x14ac:dyDescent="0.2">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x14ac:dyDescent="0.2">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x14ac:dyDescent="0.2">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x14ac:dyDescent="0.2">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x14ac:dyDescent="0.2">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x14ac:dyDescent="0.2">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x14ac:dyDescent="0.2">
      <c r="M81" s="5" t="s">
        <v>3909</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x14ac:dyDescent="0.2">
      <c r="M82" s="5" t="s">
        <v>3910</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x14ac:dyDescent="0.2">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x14ac:dyDescent="0.2">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x14ac:dyDescent="0.2">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x14ac:dyDescent="0.2">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x14ac:dyDescent="0.2">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x14ac:dyDescent="0.2">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x14ac:dyDescent="0.2">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x14ac:dyDescent="0.2"/>
    <row r="91" spans="13:29" hidden="1" x14ac:dyDescent="0.2"/>
    <row r="92" spans="13:29" hidden="1" x14ac:dyDescent="0.2"/>
    <row r="93" spans="13:29" hidden="1" x14ac:dyDescent="0.2"/>
    <row r="94" spans="13:29" hidden="1" x14ac:dyDescent="0.2"/>
    <row r="95" spans="13:29" hidden="1" x14ac:dyDescent="0.2"/>
    <row r="96" spans="13:29" hidden="1" x14ac:dyDescent="0.2"/>
    <row r="97" hidden="1" x14ac:dyDescent="0.2"/>
    <row r="98" hidden="1" x14ac:dyDescent="0.2"/>
    <row r="99" hidden="1" x14ac:dyDescent="0.2"/>
    <row r="100" hidden="1" x14ac:dyDescent="0.2"/>
  </sheetData>
  <sheetProtection password="CABA" sheet="1" objects="1" scenarios="1"/>
  <mergeCells count="24">
    <mergeCell ref="H53:J53"/>
    <mergeCell ref="H44:J44"/>
    <mergeCell ref="H45:J45"/>
    <mergeCell ref="H37:J37"/>
    <mergeCell ref="H52:J52"/>
    <mergeCell ref="E48:J48"/>
    <mergeCell ref="N50:O50"/>
    <mergeCell ref="N41:O41"/>
    <mergeCell ref="I2:J2"/>
    <mergeCell ref="B12:B13"/>
    <mergeCell ref="P44:Q44"/>
    <mergeCell ref="E5:J5"/>
    <mergeCell ref="E31:J31"/>
    <mergeCell ref="N26:O26"/>
    <mergeCell ref="N44:O44"/>
    <mergeCell ref="N32:O32"/>
    <mergeCell ref="H36:J36"/>
    <mergeCell ref="R44:S44"/>
    <mergeCell ref="F6:G6"/>
    <mergeCell ref="I6:J6"/>
    <mergeCell ref="P26:Q26"/>
    <mergeCell ref="P35:Q35"/>
    <mergeCell ref="N35:O35"/>
    <mergeCell ref="E40:J40"/>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zoomScaleNormal="100" workbookViewId="0">
      <selection activeCell="G24" sqref="G24"/>
    </sheetView>
  </sheetViews>
  <sheetFormatPr baseColWidth="10" defaultRowHeight="12.75" x14ac:dyDescent="0.2"/>
  <cols>
    <col min="1" max="1" width="5" customWidth="1"/>
    <col min="2" max="2" width="8.7109375" bestFit="1" customWidth="1"/>
    <col min="3" max="3" width="8" style="562" customWidth="1"/>
    <col min="4" max="4" width="27.1406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x14ac:dyDescent="0.2">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x14ac:dyDescent="0.3">
      <c r="A2" s="662" t="s">
        <v>3269</v>
      </c>
      <c r="C2" s="258"/>
      <c r="E2" s="1209">
        <v>46010</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x14ac:dyDescent="0.3">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x14ac:dyDescent="0.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x14ac:dyDescent="0.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2">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x14ac:dyDescent="0.2">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x14ac:dyDescent="0.2">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51</v>
      </c>
      <c r="AJ7" s="379" t="s">
        <v>1344</v>
      </c>
    </row>
    <row r="8" spans="1:52" s="251" customFormat="1" x14ac:dyDescent="0.2">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x14ac:dyDescent="0.1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x14ac:dyDescent="0.2">
      <c r="A10" s="554">
        <v>1</v>
      </c>
      <c r="B10" s="648">
        <v>1</v>
      </c>
      <c r="C10" s="651">
        <f>IF(OR(WPArt=2),2,IF(OR(WPArt=3,WPArt=5),3,IF(WPArt=4,4,IF(WPArt=6,6,1))))</f>
        <v>1</v>
      </c>
      <c r="D10" s="554" t="s">
        <v>1348</v>
      </c>
      <c r="E10" s="554" t="str">
        <f>""</f>
        <v/>
      </c>
      <c r="F10" s="1177">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1836</v>
      </c>
    </row>
    <row r="11" spans="1:52" x14ac:dyDescent="0.2">
      <c r="A11">
        <f>A10+(D11&lt;&gt;D10)*1</f>
        <v>2</v>
      </c>
      <c r="B11">
        <v>2</v>
      </c>
      <c r="C11" s="1180">
        <v>2</v>
      </c>
      <c r="D11" s="1181" t="s">
        <v>5347</v>
      </c>
      <c r="E11" s="1181" t="s">
        <v>5348</v>
      </c>
      <c r="F11" s="1182">
        <v>4</v>
      </c>
      <c r="G11" s="1183">
        <v>4.34</v>
      </c>
      <c r="H11" s="1183">
        <v>2.5</v>
      </c>
      <c r="I11" s="1183">
        <v>5.41</v>
      </c>
      <c r="J11" s="1183">
        <v>3.08</v>
      </c>
      <c r="K11" s="1183">
        <v>3.91</v>
      </c>
      <c r="L11" s="1183">
        <v>3.79</v>
      </c>
      <c r="M11" s="1183">
        <v>3.35</v>
      </c>
      <c r="N11" s="1183">
        <v>4.88</v>
      </c>
      <c r="O11" s="1183">
        <v>2.68</v>
      </c>
      <c r="P11" s="1183">
        <v>6.81</v>
      </c>
      <c r="Q11" s="1183">
        <v>4.67</v>
      </c>
      <c r="R11" s="1183">
        <v>2.06</v>
      </c>
      <c r="S11" s="1183">
        <v>2.75</v>
      </c>
      <c r="T11" s="1183">
        <v>2.78</v>
      </c>
      <c r="U11" s="1183">
        <v>2.25</v>
      </c>
      <c r="V11" s="1183">
        <v>3.49</v>
      </c>
      <c r="W11" s="1183"/>
      <c r="X11" s="1183"/>
      <c r="Y11" s="1183"/>
      <c r="Z11" s="1183"/>
      <c r="AA11" s="1183"/>
      <c r="AB11" s="1183"/>
      <c r="AC11" s="1183"/>
      <c r="AD11" s="1184"/>
    </row>
    <row r="12" spans="1:52" x14ac:dyDescent="0.2">
      <c r="A12">
        <f t="shared" ref="A12:A75" si="1">A11+(D12&lt;&gt;D11)*1</f>
        <v>2</v>
      </c>
      <c r="B12">
        <v>3</v>
      </c>
      <c r="C12" s="1078">
        <v>2</v>
      </c>
      <c r="D12" s="1181" t="s">
        <v>5347</v>
      </c>
      <c r="E12" s="1077" t="s">
        <v>5349</v>
      </c>
      <c r="F12" s="1185">
        <v>4</v>
      </c>
      <c r="G12" s="1186">
        <v>5.92</v>
      </c>
      <c r="H12" s="1186">
        <v>2.6</v>
      </c>
      <c r="I12" s="1186">
        <v>7.33</v>
      </c>
      <c r="J12" s="1186">
        <v>3</v>
      </c>
      <c r="K12" s="1186">
        <v>5.58</v>
      </c>
      <c r="L12" s="1186">
        <v>3.83</v>
      </c>
      <c r="M12" s="1186">
        <v>4.87</v>
      </c>
      <c r="N12" s="1186">
        <v>4.93</v>
      </c>
      <c r="O12" s="1186">
        <v>3.7</v>
      </c>
      <c r="P12" s="1186">
        <v>6.62</v>
      </c>
      <c r="Q12" s="1186">
        <v>6.87</v>
      </c>
      <c r="R12" s="1186">
        <v>2.2999999999999998</v>
      </c>
      <c r="S12" s="1186">
        <v>4.2699999999999996</v>
      </c>
      <c r="T12" s="1186">
        <v>3.16</v>
      </c>
      <c r="U12" s="1186">
        <v>3.46</v>
      </c>
      <c r="V12" s="1186">
        <v>3.85</v>
      </c>
      <c r="W12" s="1186"/>
      <c r="X12" s="1186"/>
      <c r="Y12" s="1186"/>
      <c r="Z12" s="1186"/>
      <c r="AA12" s="1186"/>
      <c r="AB12" s="1186"/>
      <c r="AC12" s="1186"/>
      <c r="AD12" s="1187"/>
      <c r="AH12" s="251" t="s">
        <v>1349</v>
      </c>
    </row>
    <row r="13" spans="1:52" x14ac:dyDescent="0.2">
      <c r="A13">
        <f t="shared" si="1"/>
        <v>2</v>
      </c>
      <c r="B13">
        <v>4</v>
      </c>
      <c r="C13" s="1078">
        <v>2</v>
      </c>
      <c r="D13" s="1181" t="s">
        <v>5347</v>
      </c>
      <c r="E13" s="1077" t="s">
        <v>5530</v>
      </c>
      <c r="F13" s="1185">
        <v>4</v>
      </c>
      <c r="G13" s="1186">
        <v>7.04</v>
      </c>
      <c r="H13" s="1186">
        <v>2.34</v>
      </c>
      <c r="I13" s="1186">
        <v>9.41</v>
      </c>
      <c r="J13" s="1186">
        <v>3.04</v>
      </c>
      <c r="K13" s="1186">
        <v>7.27</v>
      </c>
      <c r="L13" s="1186">
        <v>4.26</v>
      </c>
      <c r="M13" s="1186">
        <v>5.05</v>
      </c>
      <c r="N13" s="1186">
        <v>4.95</v>
      </c>
      <c r="O13" s="1186">
        <v>4.74</v>
      </c>
      <c r="P13" s="1186">
        <v>7.45</v>
      </c>
      <c r="Q13" s="1186">
        <v>8.44</v>
      </c>
      <c r="R13" s="1186">
        <v>2.15</v>
      </c>
      <c r="S13" s="1186">
        <v>4.97</v>
      </c>
      <c r="T13" s="1186">
        <v>3.12</v>
      </c>
      <c r="U13" s="1186">
        <v>4.3600000000000003</v>
      </c>
      <c r="V13" s="1186">
        <v>4.3099999999999996</v>
      </c>
      <c r="W13" s="1186"/>
      <c r="X13" s="1186"/>
      <c r="Y13" s="1186"/>
      <c r="Z13" s="1186"/>
      <c r="AA13" s="1186"/>
      <c r="AB13" s="1186"/>
      <c r="AC13" s="1186"/>
      <c r="AD13" s="1187"/>
      <c r="AH13" s="251" t="e">
        <f ca="1">OFFSET(AI39,AH7+1,0)</f>
        <v>#N/A</v>
      </c>
    </row>
    <row r="14" spans="1:52" x14ac:dyDescent="0.2">
      <c r="A14">
        <f t="shared" si="1"/>
        <v>2</v>
      </c>
      <c r="B14">
        <v>5</v>
      </c>
      <c r="C14" s="1078">
        <v>2</v>
      </c>
      <c r="D14" s="1181" t="s">
        <v>5347</v>
      </c>
      <c r="E14" s="1077" t="s">
        <v>5531</v>
      </c>
      <c r="F14" s="1185">
        <v>4</v>
      </c>
      <c r="G14" s="1186">
        <v>10.59</v>
      </c>
      <c r="H14" s="1186">
        <v>2.35</v>
      </c>
      <c r="I14" s="1186">
        <v>13</v>
      </c>
      <c r="J14" s="1186">
        <v>2.76</v>
      </c>
      <c r="K14" s="1186">
        <v>9.2100000000000009</v>
      </c>
      <c r="L14" s="1186">
        <v>4.2300000000000004</v>
      </c>
      <c r="M14" s="1186">
        <v>7.39</v>
      </c>
      <c r="N14" s="1186">
        <v>5.22</v>
      </c>
      <c r="O14" s="1186">
        <v>6.89</v>
      </c>
      <c r="P14" s="1186">
        <v>7.41</v>
      </c>
      <c r="Q14" s="1186">
        <v>12.69</v>
      </c>
      <c r="R14" s="1186">
        <v>2.15</v>
      </c>
      <c r="S14" s="1186">
        <v>7</v>
      </c>
      <c r="T14" s="1186">
        <v>3.23</v>
      </c>
      <c r="U14" s="1186">
        <v>6.28</v>
      </c>
      <c r="V14" s="1186">
        <v>4.24</v>
      </c>
      <c r="W14" s="1186"/>
      <c r="X14" s="1186"/>
      <c r="Y14" s="1186"/>
      <c r="Z14" s="1186"/>
      <c r="AA14" s="1186"/>
      <c r="AB14" s="1186"/>
      <c r="AC14" s="1186"/>
      <c r="AD14" s="1187"/>
    </row>
    <row r="15" spans="1:52" x14ac:dyDescent="0.2">
      <c r="A15">
        <f t="shared" si="1"/>
        <v>2</v>
      </c>
      <c r="B15">
        <v>6</v>
      </c>
      <c r="C15" s="1078">
        <v>2</v>
      </c>
      <c r="D15" s="1181" t="s">
        <v>5347</v>
      </c>
      <c r="E15" s="1077" t="s">
        <v>5660</v>
      </c>
      <c r="F15" s="1185">
        <v>4</v>
      </c>
      <c r="G15" s="1186">
        <v>14.69</v>
      </c>
      <c r="H15" s="1186">
        <v>2.5299999999999998</v>
      </c>
      <c r="I15" s="1186">
        <v>18</v>
      </c>
      <c r="J15" s="1186">
        <v>2.95</v>
      </c>
      <c r="K15" s="1186">
        <v>11.35</v>
      </c>
      <c r="L15" s="1186">
        <v>3.85</v>
      </c>
      <c r="M15" s="1186">
        <v>9.6999999999999993</v>
      </c>
      <c r="N15" s="1186">
        <v>4.99</v>
      </c>
      <c r="O15" s="1186">
        <v>9.1199999999999992</v>
      </c>
      <c r="P15" s="1186">
        <v>7.41</v>
      </c>
      <c r="Q15" s="1186">
        <v>16.97</v>
      </c>
      <c r="R15" s="1186">
        <v>2.17</v>
      </c>
      <c r="S15" s="1186">
        <v>9.7100000000000009</v>
      </c>
      <c r="T15" s="1186">
        <v>3.27</v>
      </c>
      <c r="U15" s="1186">
        <v>8.39</v>
      </c>
      <c r="V15" s="1186">
        <v>4.09</v>
      </c>
      <c r="W15" s="1186"/>
      <c r="X15" s="1186"/>
      <c r="Y15" s="1186"/>
      <c r="Z15" s="1186"/>
      <c r="AA15" s="1186"/>
      <c r="AB15" s="1186"/>
      <c r="AC15" s="1186"/>
      <c r="AD15" s="1187"/>
      <c r="AH15" s="251" t="s">
        <v>1350</v>
      </c>
    </row>
    <row r="16" spans="1:52" x14ac:dyDescent="0.2">
      <c r="A16">
        <f t="shared" si="1"/>
        <v>2</v>
      </c>
      <c r="B16">
        <v>7</v>
      </c>
      <c r="C16" s="1078">
        <v>2</v>
      </c>
      <c r="D16" s="1181" t="s">
        <v>5347</v>
      </c>
      <c r="E16" s="1077" t="s">
        <v>4514</v>
      </c>
      <c r="F16" s="1185">
        <v>4</v>
      </c>
      <c r="G16" s="1186">
        <v>3.4</v>
      </c>
      <c r="H16" s="1186">
        <v>2.42</v>
      </c>
      <c r="I16" s="1186">
        <v>6.4</v>
      </c>
      <c r="J16" s="1186">
        <v>3.17</v>
      </c>
      <c r="K16" s="1186">
        <v>4.58</v>
      </c>
      <c r="L16" s="1186">
        <v>4.1399999999999997</v>
      </c>
      <c r="M16" s="1186">
        <v>3.81</v>
      </c>
      <c r="N16" s="1186">
        <v>5.12</v>
      </c>
      <c r="O16" s="1186">
        <v>3.72</v>
      </c>
      <c r="P16" s="1186">
        <v>5.17</v>
      </c>
      <c r="Q16" s="1186">
        <v>4.93</v>
      </c>
      <c r="R16" s="1186">
        <v>2.2000000000000002</v>
      </c>
      <c r="S16" s="1186">
        <v>3.49</v>
      </c>
      <c r="T16" s="1186">
        <v>2.84</v>
      </c>
      <c r="U16" s="1186">
        <v>3.49</v>
      </c>
      <c r="V16" s="1186">
        <v>2.77</v>
      </c>
      <c r="W16" s="1186"/>
      <c r="X16" s="1186"/>
      <c r="Y16" s="1186"/>
      <c r="Z16" s="1186"/>
      <c r="AA16" s="1186"/>
      <c r="AB16" s="1186"/>
      <c r="AC16" s="1186"/>
      <c r="AD16" s="1187"/>
      <c r="AH16" s="251" t="e">
        <f ca="1">AH13-1</f>
        <v>#N/A</v>
      </c>
    </row>
    <row r="17" spans="1:36" x14ac:dyDescent="0.2">
      <c r="A17">
        <f t="shared" si="1"/>
        <v>2</v>
      </c>
      <c r="B17">
        <v>8</v>
      </c>
      <c r="C17" s="1078">
        <v>2</v>
      </c>
      <c r="D17" s="1181" t="s">
        <v>5347</v>
      </c>
      <c r="E17" s="1077" t="s">
        <v>4988</v>
      </c>
      <c r="F17" s="1185">
        <v>4</v>
      </c>
      <c r="G17" s="1186">
        <v>4.2</v>
      </c>
      <c r="H17" s="1186">
        <v>2</v>
      </c>
      <c r="I17" s="1186">
        <v>8.5</v>
      </c>
      <c r="J17" s="1186">
        <v>2.63</v>
      </c>
      <c r="K17" s="1186">
        <v>7.45</v>
      </c>
      <c r="L17" s="1186">
        <v>3.79</v>
      </c>
      <c r="M17" s="1186">
        <v>6.72</v>
      </c>
      <c r="N17" s="1186">
        <v>4.66</v>
      </c>
      <c r="O17" s="1186">
        <v>6.52</v>
      </c>
      <c r="P17" s="1186">
        <v>5.53</v>
      </c>
      <c r="Q17" s="1186">
        <v>8.4600000000000009</v>
      </c>
      <c r="R17" s="1186">
        <v>2.0499999999999998</v>
      </c>
      <c r="S17" s="1186">
        <v>6.12</v>
      </c>
      <c r="T17" s="1186">
        <v>3.51</v>
      </c>
      <c r="U17" s="1186">
        <v>5.8</v>
      </c>
      <c r="V17" s="1186">
        <v>2.9</v>
      </c>
      <c r="W17" s="1186"/>
      <c r="X17" s="1186"/>
      <c r="Y17" s="1186"/>
      <c r="Z17" s="1186"/>
      <c r="AA17" s="1186"/>
      <c r="AB17" s="1186"/>
      <c r="AC17" s="1186"/>
      <c r="AD17" s="1187"/>
    </row>
    <row r="18" spans="1:36" x14ac:dyDescent="0.2">
      <c r="A18">
        <f t="shared" si="1"/>
        <v>2</v>
      </c>
      <c r="B18">
        <v>9</v>
      </c>
      <c r="C18" s="1078">
        <v>2</v>
      </c>
      <c r="D18" s="1181" t="s">
        <v>5347</v>
      </c>
      <c r="E18" s="1077" t="s">
        <v>4515</v>
      </c>
      <c r="F18" s="1185">
        <v>4</v>
      </c>
      <c r="G18" s="1186">
        <v>3.4</v>
      </c>
      <c r="H18" s="1186">
        <v>2.42</v>
      </c>
      <c r="I18" s="1186">
        <v>6.4</v>
      </c>
      <c r="J18" s="1186">
        <v>3.17</v>
      </c>
      <c r="K18" s="1186">
        <v>4.58</v>
      </c>
      <c r="L18" s="1186">
        <v>4.1399999999999997</v>
      </c>
      <c r="M18" s="1186">
        <v>3.81</v>
      </c>
      <c r="N18" s="1186">
        <v>5.12</v>
      </c>
      <c r="O18" s="1186">
        <v>3.72</v>
      </c>
      <c r="P18" s="1186">
        <v>5.17</v>
      </c>
      <c r="Q18" s="1186">
        <v>4.93</v>
      </c>
      <c r="R18" s="1186">
        <v>2.2000000000000002</v>
      </c>
      <c r="S18" s="1186">
        <v>3.49</v>
      </c>
      <c r="T18" s="1186">
        <v>2.84</v>
      </c>
      <c r="U18" s="1186">
        <v>3.49</v>
      </c>
      <c r="V18" s="1186">
        <v>2.77</v>
      </c>
      <c r="W18" s="1186"/>
      <c r="X18" s="1186"/>
      <c r="Y18" s="1186"/>
      <c r="Z18" s="1186"/>
      <c r="AA18" s="1186"/>
      <c r="AB18" s="1186"/>
      <c r="AC18" s="1186"/>
      <c r="AD18" s="1187"/>
      <c r="AH18" s="251" t="s">
        <v>1351</v>
      </c>
    </row>
    <row r="19" spans="1:36" x14ac:dyDescent="0.2">
      <c r="A19">
        <f t="shared" si="1"/>
        <v>2</v>
      </c>
      <c r="B19">
        <v>10</v>
      </c>
      <c r="C19" s="1078">
        <v>2</v>
      </c>
      <c r="D19" s="1181" t="s">
        <v>5347</v>
      </c>
      <c r="E19" s="1077" t="s">
        <v>4516</v>
      </c>
      <c r="F19" s="1185">
        <v>4</v>
      </c>
      <c r="G19" s="1186">
        <v>4.2</v>
      </c>
      <c r="H19" s="1186">
        <v>2</v>
      </c>
      <c r="I19" s="1186">
        <v>8.5</v>
      </c>
      <c r="J19" s="1186">
        <v>2.63</v>
      </c>
      <c r="K19" s="1186">
        <v>7.45</v>
      </c>
      <c r="L19" s="1186">
        <v>3.79</v>
      </c>
      <c r="M19" s="1186">
        <v>6.72</v>
      </c>
      <c r="N19" s="1186">
        <v>4.66</v>
      </c>
      <c r="O19" s="1186">
        <v>6.52</v>
      </c>
      <c r="P19" s="1186">
        <v>5.53</v>
      </c>
      <c r="Q19" s="1186">
        <v>8.4600000000000009</v>
      </c>
      <c r="R19" s="1186">
        <v>2.0499999999999998</v>
      </c>
      <c r="S19" s="1186">
        <v>6.12</v>
      </c>
      <c r="T19" s="1186">
        <v>3.51</v>
      </c>
      <c r="U19" s="1186">
        <v>5.8</v>
      </c>
      <c r="V19" s="1186">
        <v>2.9</v>
      </c>
      <c r="W19" s="1186"/>
      <c r="X19" s="1186"/>
      <c r="Y19" s="1186"/>
      <c r="Z19" s="1186"/>
      <c r="AA19" s="1186"/>
      <c r="AB19" s="1186"/>
      <c r="AC19" s="1186"/>
      <c r="AD19" s="1187"/>
      <c r="AH19" s="251" t="e">
        <f ca="1">AH13-AH10</f>
        <v>#N/A</v>
      </c>
    </row>
    <row r="20" spans="1:36" x14ac:dyDescent="0.2">
      <c r="A20">
        <f t="shared" si="1"/>
        <v>2</v>
      </c>
      <c r="B20">
        <v>11</v>
      </c>
      <c r="C20" s="1078">
        <v>2</v>
      </c>
      <c r="D20" s="1181" t="s">
        <v>5347</v>
      </c>
      <c r="E20" s="1077" t="s">
        <v>4989</v>
      </c>
      <c r="F20" s="1185">
        <v>1</v>
      </c>
      <c r="G20" s="1186">
        <v>5.8</v>
      </c>
      <c r="H20" s="1186">
        <v>2.4</v>
      </c>
      <c r="I20" s="1186">
        <v>7.5</v>
      </c>
      <c r="J20" s="1186">
        <v>2.9</v>
      </c>
      <c r="K20" s="1186">
        <v>9.5</v>
      </c>
      <c r="L20" s="1186">
        <v>3.7</v>
      </c>
      <c r="M20" s="1186">
        <v>10.3</v>
      </c>
      <c r="N20" s="1186">
        <v>4.2</v>
      </c>
      <c r="O20" s="1186">
        <v>15</v>
      </c>
      <c r="P20" s="1186">
        <v>5.3</v>
      </c>
      <c r="Q20" s="1186">
        <v>6.8</v>
      </c>
      <c r="R20" s="1186">
        <v>1.8</v>
      </c>
      <c r="S20" s="1186">
        <v>10.3</v>
      </c>
      <c r="T20" s="1186">
        <v>2.8</v>
      </c>
      <c r="U20" s="1186">
        <v>14.5</v>
      </c>
      <c r="V20" s="1186">
        <v>3.4</v>
      </c>
      <c r="W20" s="1186"/>
      <c r="X20" s="1186"/>
      <c r="Y20" s="1186"/>
      <c r="Z20" s="1186"/>
      <c r="AA20" s="1186"/>
      <c r="AB20" s="1186"/>
      <c r="AC20" s="1186"/>
      <c r="AD20" s="1187"/>
    </row>
    <row r="21" spans="1:36" x14ac:dyDescent="0.2">
      <c r="A21">
        <f t="shared" si="1"/>
        <v>2</v>
      </c>
      <c r="B21">
        <v>12</v>
      </c>
      <c r="C21" s="1078">
        <v>2</v>
      </c>
      <c r="D21" s="1181" t="s">
        <v>5347</v>
      </c>
      <c r="E21" s="1077" t="s">
        <v>4990</v>
      </c>
      <c r="F21" s="1185">
        <v>1</v>
      </c>
      <c r="G21" s="1186">
        <v>7</v>
      </c>
      <c r="H21" s="1186">
        <v>2.4</v>
      </c>
      <c r="I21" s="1186">
        <v>9.1</v>
      </c>
      <c r="J21" s="1186">
        <v>2.9</v>
      </c>
      <c r="K21" s="1186">
        <v>11.8</v>
      </c>
      <c r="L21" s="1186">
        <v>3.7</v>
      </c>
      <c r="M21" s="1186">
        <v>12.8</v>
      </c>
      <c r="N21" s="1186">
        <v>4.2</v>
      </c>
      <c r="O21" s="1186">
        <v>18.3</v>
      </c>
      <c r="P21" s="1186">
        <v>5.3</v>
      </c>
      <c r="Q21" s="1186">
        <v>8.6</v>
      </c>
      <c r="R21" s="1186">
        <v>1.9</v>
      </c>
      <c r="S21" s="1186">
        <v>11.2</v>
      </c>
      <c r="T21" s="1186">
        <v>2.7</v>
      </c>
      <c r="U21" s="1186">
        <v>17.3</v>
      </c>
      <c r="V21" s="1186">
        <v>3.3</v>
      </c>
      <c r="W21" s="1186"/>
      <c r="X21" s="1186"/>
      <c r="Y21" s="1186"/>
      <c r="Z21" s="1186"/>
      <c r="AA21" s="1186"/>
      <c r="AB21" s="1186"/>
      <c r="AC21" s="1186"/>
      <c r="AD21" s="1187"/>
      <c r="AJ21" s="251" t="s">
        <v>1342</v>
      </c>
    </row>
    <row r="22" spans="1:36" x14ac:dyDescent="0.2">
      <c r="A22">
        <f t="shared" si="1"/>
        <v>2</v>
      </c>
      <c r="B22">
        <v>13</v>
      </c>
      <c r="C22" s="1078">
        <v>2</v>
      </c>
      <c r="D22" s="1181" t="s">
        <v>5347</v>
      </c>
      <c r="E22" s="1077" t="s">
        <v>4991</v>
      </c>
      <c r="F22" s="1185">
        <v>4</v>
      </c>
      <c r="G22" s="1186">
        <v>11</v>
      </c>
      <c r="H22" s="1186">
        <v>2.6</v>
      </c>
      <c r="I22" s="1186">
        <v>13.9</v>
      </c>
      <c r="J22" s="1186">
        <v>3.21</v>
      </c>
      <c r="K22" s="1186">
        <v>8.1</v>
      </c>
      <c r="L22" s="1186">
        <v>4.2</v>
      </c>
      <c r="M22" s="1186">
        <v>5.8</v>
      </c>
      <c r="N22" s="1186">
        <v>4.33</v>
      </c>
      <c r="O22" s="1186">
        <v>6</v>
      </c>
      <c r="P22" s="1186">
        <v>4.7</v>
      </c>
      <c r="Q22" s="1186">
        <v>13.7</v>
      </c>
      <c r="R22" s="1186">
        <v>2.41</v>
      </c>
      <c r="S22" s="1186">
        <v>12</v>
      </c>
      <c r="T22" s="1186">
        <v>3.31</v>
      </c>
      <c r="U22" s="1186">
        <v>6.5</v>
      </c>
      <c r="V22" s="1186">
        <v>3.4</v>
      </c>
      <c r="W22" s="1186"/>
      <c r="X22" s="1186"/>
      <c r="Y22" s="1186"/>
      <c r="Z22" s="1186"/>
      <c r="AA22" s="1186"/>
      <c r="AB22" s="1186"/>
      <c r="AC22" s="1186"/>
      <c r="AD22" s="1187"/>
      <c r="AJ22" s="583" t="s">
        <v>3171</v>
      </c>
    </row>
    <row r="23" spans="1:36" x14ac:dyDescent="0.2">
      <c r="A23">
        <f t="shared" si="1"/>
        <v>2</v>
      </c>
      <c r="B23">
        <v>14</v>
      </c>
      <c r="C23" s="1078">
        <v>2</v>
      </c>
      <c r="D23" s="1181" t="s">
        <v>5347</v>
      </c>
      <c r="E23" s="1077" t="s">
        <v>5661</v>
      </c>
      <c r="F23" s="1185">
        <v>1</v>
      </c>
      <c r="G23" s="1186">
        <v>8.8000000000000007</v>
      </c>
      <c r="H23" s="1186">
        <v>2.6</v>
      </c>
      <c r="I23" s="1186">
        <v>10.8</v>
      </c>
      <c r="J23" s="1186">
        <v>3</v>
      </c>
      <c r="K23" s="1186">
        <v>13.8</v>
      </c>
      <c r="L23" s="1186">
        <v>3.7</v>
      </c>
      <c r="M23" s="1186">
        <v>14.4</v>
      </c>
      <c r="N23" s="1186">
        <v>4.3</v>
      </c>
      <c r="O23" s="1186">
        <v>22.1</v>
      </c>
      <c r="P23" s="1186">
        <v>5.5</v>
      </c>
      <c r="Q23" s="1186">
        <v>10.4</v>
      </c>
      <c r="R23" s="1186">
        <v>2</v>
      </c>
      <c r="S23" s="1186">
        <v>13.8</v>
      </c>
      <c r="T23" s="1186">
        <v>2.6</v>
      </c>
      <c r="U23" s="1186">
        <v>20.8</v>
      </c>
      <c r="V23" s="1186">
        <v>3.4</v>
      </c>
      <c r="W23" s="1186"/>
      <c r="X23" s="1186"/>
      <c r="Y23" s="1186"/>
      <c r="Z23" s="1186"/>
      <c r="AA23" s="1186"/>
      <c r="AB23" s="1186"/>
      <c r="AC23" s="1186"/>
      <c r="AD23" s="1187"/>
    </row>
    <row r="24" spans="1:36" x14ac:dyDescent="0.2">
      <c r="A24">
        <f t="shared" si="1"/>
        <v>2</v>
      </c>
      <c r="B24">
        <v>15</v>
      </c>
      <c r="C24" s="1078">
        <v>2</v>
      </c>
      <c r="D24" s="1181" t="s">
        <v>5347</v>
      </c>
      <c r="E24" s="1077" t="s">
        <v>4992</v>
      </c>
      <c r="F24" s="1185">
        <v>2</v>
      </c>
      <c r="G24" s="1186">
        <v>11</v>
      </c>
      <c r="H24" s="1186">
        <v>2.2999999999999998</v>
      </c>
      <c r="I24" s="1186">
        <v>14.1</v>
      </c>
      <c r="J24" s="1186">
        <v>2.8</v>
      </c>
      <c r="K24" s="1186">
        <v>9.5</v>
      </c>
      <c r="L24" s="1186">
        <v>3.8</v>
      </c>
      <c r="M24" s="1186">
        <v>10.1</v>
      </c>
      <c r="N24" s="1186">
        <v>4.2</v>
      </c>
      <c r="O24" s="1186">
        <v>16.600000000000001</v>
      </c>
      <c r="P24" s="1186">
        <v>5.4</v>
      </c>
      <c r="Q24" s="1186">
        <v>12.7</v>
      </c>
      <c r="R24" s="1186">
        <v>1.8</v>
      </c>
      <c r="S24" s="1186">
        <v>17.5</v>
      </c>
      <c r="T24" s="1186">
        <v>2.5</v>
      </c>
      <c r="U24" s="1186">
        <v>24.8</v>
      </c>
      <c r="V24" s="1186">
        <v>3.6</v>
      </c>
      <c r="W24" s="1186"/>
      <c r="X24" s="1186"/>
      <c r="Y24" s="1186"/>
      <c r="Z24" s="1186"/>
      <c r="AA24" s="1186"/>
      <c r="AB24" s="1186"/>
      <c r="AC24" s="1186"/>
      <c r="AD24" s="1187"/>
      <c r="AH24" s="251" t="s">
        <v>2113</v>
      </c>
    </row>
    <row r="25" spans="1:36" x14ac:dyDescent="0.2">
      <c r="A25">
        <f t="shared" si="1"/>
        <v>2</v>
      </c>
      <c r="B25">
        <v>16</v>
      </c>
      <c r="C25" s="1078">
        <v>2</v>
      </c>
      <c r="D25" s="1181" t="s">
        <v>5347</v>
      </c>
      <c r="E25" s="1077" t="s">
        <v>4993</v>
      </c>
      <c r="F25" s="1185">
        <v>2</v>
      </c>
      <c r="G25" s="1186">
        <v>15.5</v>
      </c>
      <c r="H25" s="1186">
        <v>2.5</v>
      </c>
      <c r="I25" s="1186">
        <v>19.399999999999999</v>
      </c>
      <c r="J25" s="1186">
        <v>2.8</v>
      </c>
      <c r="K25" s="1186">
        <v>13.2</v>
      </c>
      <c r="L25" s="1186">
        <v>3.8</v>
      </c>
      <c r="M25" s="1186">
        <v>14.1</v>
      </c>
      <c r="N25" s="1186">
        <v>4.2</v>
      </c>
      <c r="O25" s="1186">
        <v>24.2</v>
      </c>
      <c r="P25" s="1186">
        <v>6</v>
      </c>
      <c r="Q25" s="1186">
        <v>18.5</v>
      </c>
      <c r="R25" s="1186">
        <v>1.8</v>
      </c>
      <c r="S25" s="1186">
        <v>26.5</v>
      </c>
      <c r="T25" s="1186">
        <v>2.5</v>
      </c>
      <c r="U25" s="1186">
        <v>39</v>
      </c>
      <c r="V25" s="1186">
        <v>3.5</v>
      </c>
      <c r="W25" s="1186"/>
      <c r="X25" s="1186"/>
      <c r="Y25" s="1186"/>
      <c r="Z25" s="1186"/>
      <c r="AA25" s="1186"/>
      <c r="AB25" s="1186"/>
      <c r="AC25" s="1186"/>
      <c r="AD25" s="1187"/>
      <c r="AH25" s="251" t="e">
        <f ca="1">MATCH('WP1'!G19,AN40:AN239,0)</f>
        <v>#N/A</v>
      </c>
    </row>
    <row r="26" spans="1:36" x14ac:dyDescent="0.2">
      <c r="A26">
        <f t="shared" si="1"/>
        <v>2</v>
      </c>
      <c r="B26">
        <v>17</v>
      </c>
      <c r="C26" s="1078">
        <v>2</v>
      </c>
      <c r="D26" s="1181" t="s">
        <v>5347</v>
      </c>
      <c r="E26" s="1077" t="s">
        <v>4994</v>
      </c>
      <c r="F26" s="1185">
        <v>2</v>
      </c>
      <c r="G26" s="1186">
        <v>19.11</v>
      </c>
      <c r="H26" s="1186">
        <v>2.2000000000000002</v>
      </c>
      <c r="I26" s="1186">
        <v>24.28</v>
      </c>
      <c r="J26" s="1186">
        <v>2.77</v>
      </c>
      <c r="K26" s="1186">
        <v>16.97</v>
      </c>
      <c r="L26" s="1186">
        <v>3.52</v>
      </c>
      <c r="M26" s="1186">
        <v>19.78</v>
      </c>
      <c r="N26" s="1186">
        <v>4.04</v>
      </c>
      <c r="O26" s="1186">
        <v>24.95</v>
      </c>
      <c r="P26" s="1186">
        <v>3.73</v>
      </c>
      <c r="Q26" s="1186">
        <v>24.28</v>
      </c>
      <c r="R26" s="1186">
        <v>1.86</v>
      </c>
      <c r="S26" s="1186">
        <v>19.05</v>
      </c>
      <c r="T26" s="1186">
        <v>2.78</v>
      </c>
      <c r="U26" s="1186">
        <v>24.97</v>
      </c>
      <c r="V26" s="1186">
        <v>3.73</v>
      </c>
      <c r="W26" s="1186"/>
      <c r="X26" s="1186"/>
      <c r="Y26" s="1186"/>
      <c r="Z26" s="1186"/>
      <c r="AA26" s="1186"/>
      <c r="AB26" s="1186"/>
      <c r="AC26" s="1186"/>
      <c r="AD26" s="1187"/>
    </row>
    <row r="27" spans="1:36" x14ac:dyDescent="0.2">
      <c r="A27">
        <f t="shared" si="1"/>
        <v>2</v>
      </c>
      <c r="B27">
        <v>18</v>
      </c>
      <c r="C27" s="1078">
        <v>2</v>
      </c>
      <c r="D27" s="1181" t="s">
        <v>5347</v>
      </c>
      <c r="E27" s="1077" t="s">
        <v>4995</v>
      </c>
      <c r="F27" s="1185">
        <v>1</v>
      </c>
      <c r="G27" s="1186">
        <v>3.5</v>
      </c>
      <c r="H27" s="1186">
        <v>2.6</v>
      </c>
      <c r="I27" s="1186">
        <v>4.5999999999999996</v>
      </c>
      <c r="J27" s="1186">
        <v>3.2</v>
      </c>
      <c r="K27" s="1186">
        <v>5.6</v>
      </c>
      <c r="L27" s="1186">
        <v>3.8</v>
      </c>
      <c r="M27" s="1186">
        <v>7.1</v>
      </c>
      <c r="N27" s="1186">
        <v>4.8</v>
      </c>
      <c r="O27" s="1186">
        <v>8.8000000000000007</v>
      </c>
      <c r="P27" s="1186">
        <v>6.3</v>
      </c>
      <c r="Q27" s="1186">
        <v>3.8</v>
      </c>
      <c r="R27" s="1186">
        <v>2</v>
      </c>
      <c r="S27" s="1186">
        <v>6.4</v>
      </c>
      <c r="T27" s="1186">
        <v>3.2</v>
      </c>
      <c r="U27" s="1186">
        <v>8</v>
      </c>
      <c r="V27" s="1186">
        <v>4</v>
      </c>
      <c r="W27" s="1186"/>
      <c r="X27" s="1186"/>
      <c r="Y27" s="1186"/>
      <c r="Z27" s="1186"/>
      <c r="AA27" s="1186"/>
      <c r="AB27" s="1186"/>
      <c r="AC27" s="1186"/>
      <c r="AD27" s="1187"/>
      <c r="AH27" s="251" t="s">
        <v>2554</v>
      </c>
      <c r="AJ27" s="251" t="s">
        <v>1342</v>
      </c>
    </row>
    <row r="28" spans="1:36" x14ac:dyDescent="0.2">
      <c r="A28">
        <f t="shared" si="1"/>
        <v>2</v>
      </c>
      <c r="B28">
        <v>19</v>
      </c>
      <c r="C28" s="1078">
        <v>2</v>
      </c>
      <c r="D28" s="1181" t="s">
        <v>5347</v>
      </c>
      <c r="E28" s="1077" t="s">
        <v>4996</v>
      </c>
      <c r="F28" s="1185">
        <v>1</v>
      </c>
      <c r="G28" s="1186">
        <v>4.8</v>
      </c>
      <c r="H28" s="1186">
        <v>2.5</v>
      </c>
      <c r="I28" s="1186">
        <v>6.3</v>
      </c>
      <c r="J28" s="1186">
        <v>3.2</v>
      </c>
      <c r="K28" s="1186">
        <v>7.7</v>
      </c>
      <c r="L28" s="1186">
        <v>3.8</v>
      </c>
      <c r="M28" s="1186">
        <v>8.5</v>
      </c>
      <c r="N28" s="1186">
        <v>4.3</v>
      </c>
      <c r="O28" s="1186">
        <v>12.8</v>
      </c>
      <c r="P28" s="1186">
        <v>6.5</v>
      </c>
      <c r="Q28" s="1186">
        <v>5.7</v>
      </c>
      <c r="R28" s="1186">
        <v>2.1</v>
      </c>
      <c r="S28" s="1186">
        <v>8.1</v>
      </c>
      <c r="T28" s="1186">
        <v>3</v>
      </c>
      <c r="U28" s="1186">
        <v>11.2</v>
      </c>
      <c r="V28" s="1186">
        <v>4</v>
      </c>
      <c r="W28" s="1186"/>
      <c r="X28" s="1186"/>
      <c r="Y28" s="1186"/>
      <c r="Z28" s="1186"/>
      <c r="AA28" s="1186"/>
      <c r="AB28" s="1186"/>
      <c r="AC28" s="1186"/>
      <c r="AD28" s="1187"/>
      <c r="AH28" s="251">
        <f ca="1">IF(ISERROR(AH25),-3,OFFSET(AM39,AH25,0))</f>
        <v>-3</v>
      </c>
      <c r="AJ28" s="251" t="e">
        <f ca="1">INDEX(C10:C2000,AH28,1)</f>
        <v>#VALUE!</v>
      </c>
    </row>
    <row r="29" spans="1:36" x14ac:dyDescent="0.2">
      <c r="A29">
        <f t="shared" si="1"/>
        <v>2</v>
      </c>
      <c r="B29">
        <v>20</v>
      </c>
      <c r="C29" s="1078">
        <v>2</v>
      </c>
      <c r="D29" s="1181" t="s">
        <v>5347</v>
      </c>
      <c r="E29" s="1077" t="s">
        <v>4997</v>
      </c>
      <c r="F29" s="1185">
        <v>1</v>
      </c>
      <c r="G29" s="1186">
        <v>6.2</v>
      </c>
      <c r="H29" s="1186">
        <v>2.6</v>
      </c>
      <c r="I29" s="1186">
        <v>7.5</v>
      </c>
      <c r="J29" s="1186">
        <v>3.12</v>
      </c>
      <c r="K29" s="1186">
        <v>9</v>
      </c>
      <c r="L29" s="1186">
        <v>3.6</v>
      </c>
      <c r="M29" s="1186">
        <v>10.1</v>
      </c>
      <c r="N29" s="1186">
        <v>4.12</v>
      </c>
      <c r="O29" s="1186">
        <v>13.8</v>
      </c>
      <c r="P29" s="1186">
        <v>5.5</v>
      </c>
      <c r="Q29" s="1186">
        <v>7</v>
      </c>
      <c r="R29" s="1186">
        <v>2.2000000000000002</v>
      </c>
      <c r="S29" s="1186">
        <v>9.5</v>
      </c>
      <c r="T29" s="1186">
        <v>2.9</v>
      </c>
      <c r="U29" s="1186">
        <v>13.3</v>
      </c>
      <c r="V29" s="1186">
        <v>3.7</v>
      </c>
      <c r="W29" s="1186"/>
      <c r="X29" s="1186"/>
      <c r="Y29" s="1186"/>
      <c r="Z29" s="1186"/>
      <c r="AA29" s="1186"/>
      <c r="AB29" s="1186"/>
      <c r="AC29" s="1186"/>
      <c r="AD29" s="1187"/>
    </row>
    <row r="30" spans="1:36" x14ac:dyDescent="0.2">
      <c r="A30">
        <f t="shared" si="1"/>
        <v>2</v>
      </c>
      <c r="B30">
        <v>21</v>
      </c>
      <c r="C30" s="1078">
        <v>2</v>
      </c>
      <c r="D30" s="1181" t="s">
        <v>5347</v>
      </c>
      <c r="E30" s="1077" t="s">
        <v>4984</v>
      </c>
      <c r="F30" s="1185">
        <v>4</v>
      </c>
      <c r="G30" s="1186">
        <v>6.6</v>
      </c>
      <c r="H30" s="1186">
        <v>2.44</v>
      </c>
      <c r="I30" s="1186">
        <v>8.11</v>
      </c>
      <c r="J30" s="1186">
        <v>3.14</v>
      </c>
      <c r="K30" s="1186">
        <v>5.08</v>
      </c>
      <c r="L30" s="1186">
        <v>4.6100000000000003</v>
      </c>
      <c r="M30" s="1186">
        <v>4.0999999999999996</v>
      </c>
      <c r="N30" s="1186">
        <v>5.05</v>
      </c>
      <c r="O30" s="1186">
        <v>3.5</v>
      </c>
      <c r="P30" s="1186">
        <v>6.8</v>
      </c>
      <c r="Q30" s="1186">
        <v>6.55</v>
      </c>
      <c r="R30" s="1186">
        <v>2.13</v>
      </c>
      <c r="S30" s="1186">
        <v>4.2300000000000004</v>
      </c>
      <c r="T30" s="1186">
        <v>3.35</v>
      </c>
      <c r="U30" s="1186">
        <v>3.1</v>
      </c>
      <c r="V30" s="1186">
        <v>4.0999999999999996</v>
      </c>
      <c r="W30" s="1186"/>
      <c r="X30" s="1186"/>
      <c r="Y30" s="1186"/>
      <c r="Z30" s="1186"/>
      <c r="AA30" s="1186"/>
      <c r="AB30" s="1186"/>
      <c r="AC30" s="1186"/>
      <c r="AD30" s="1187"/>
    </row>
    <row r="31" spans="1:36" x14ac:dyDescent="0.2">
      <c r="A31">
        <f t="shared" si="1"/>
        <v>2</v>
      </c>
      <c r="B31">
        <v>22</v>
      </c>
      <c r="C31" s="1078">
        <v>2</v>
      </c>
      <c r="D31" s="1181" t="s">
        <v>5347</v>
      </c>
      <c r="E31" s="1077" t="s">
        <v>4998</v>
      </c>
      <c r="F31" s="1185">
        <v>1</v>
      </c>
      <c r="G31" s="1186">
        <v>3.5</v>
      </c>
      <c r="H31" s="1186">
        <v>2.5</v>
      </c>
      <c r="I31" s="1186">
        <v>4.4000000000000004</v>
      </c>
      <c r="J31" s="1186">
        <v>3.11</v>
      </c>
      <c r="K31" s="1186">
        <v>5.4</v>
      </c>
      <c r="L31" s="1186">
        <v>3.69</v>
      </c>
      <c r="M31" s="1186">
        <v>6.8</v>
      </c>
      <c r="N31" s="1186">
        <v>4.5599999999999996</v>
      </c>
      <c r="O31" s="1186">
        <v>8.6</v>
      </c>
      <c r="P31" s="1186">
        <v>5.9</v>
      </c>
      <c r="Q31" s="1186">
        <v>3.8</v>
      </c>
      <c r="R31" s="1186">
        <v>2</v>
      </c>
      <c r="S31" s="1186">
        <v>6.4</v>
      </c>
      <c r="T31" s="1186">
        <v>3.2</v>
      </c>
      <c r="U31" s="1186">
        <v>8</v>
      </c>
      <c r="V31" s="1186">
        <v>4</v>
      </c>
      <c r="W31" s="1186"/>
      <c r="X31" s="1186"/>
      <c r="Y31" s="1186"/>
      <c r="Z31" s="1186"/>
      <c r="AA31" s="1186"/>
      <c r="AB31" s="1186"/>
      <c r="AC31" s="1186"/>
      <c r="AD31" s="1187"/>
    </row>
    <row r="32" spans="1:36" x14ac:dyDescent="0.2">
      <c r="A32">
        <f t="shared" si="1"/>
        <v>2</v>
      </c>
      <c r="B32">
        <v>23</v>
      </c>
      <c r="C32" s="1078">
        <v>2</v>
      </c>
      <c r="D32" s="1181" t="s">
        <v>5347</v>
      </c>
      <c r="E32" s="1077" t="s">
        <v>4999</v>
      </c>
      <c r="F32" s="1185">
        <v>1</v>
      </c>
      <c r="G32" s="1186">
        <v>4.8</v>
      </c>
      <c r="H32" s="1186">
        <v>2.4</v>
      </c>
      <c r="I32" s="1186">
        <v>6</v>
      </c>
      <c r="J32" s="1186">
        <v>3.06</v>
      </c>
      <c r="K32" s="1186">
        <v>7.3</v>
      </c>
      <c r="L32" s="1186">
        <v>3.68</v>
      </c>
      <c r="M32" s="1186">
        <v>8.6999999999999993</v>
      </c>
      <c r="N32" s="1186">
        <v>4.32</v>
      </c>
      <c r="O32" s="1186">
        <v>12</v>
      </c>
      <c r="P32" s="1186">
        <v>6</v>
      </c>
      <c r="Q32" s="1186">
        <v>5.7</v>
      </c>
      <c r="R32" s="1186">
        <v>2.1</v>
      </c>
      <c r="S32" s="1186">
        <v>8.1</v>
      </c>
      <c r="T32" s="1186">
        <v>3</v>
      </c>
      <c r="U32" s="1186">
        <v>11.2</v>
      </c>
      <c r="V32" s="1186">
        <v>4</v>
      </c>
      <c r="W32" s="1186"/>
      <c r="X32" s="1186"/>
      <c r="Y32" s="1186"/>
      <c r="Z32" s="1186"/>
      <c r="AA32" s="1186"/>
      <c r="AB32" s="1186"/>
      <c r="AC32" s="1186"/>
      <c r="AD32" s="1187"/>
    </row>
    <row r="33" spans="1:41" x14ac:dyDescent="0.2">
      <c r="A33">
        <f t="shared" si="1"/>
        <v>2</v>
      </c>
      <c r="B33">
        <v>24</v>
      </c>
      <c r="C33" s="1078">
        <v>2</v>
      </c>
      <c r="D33" s="1181" t="s">
        <v>5347</v>
      </c>
      <c r="E33" s="1077" t="s">
        <v>4517</v>
      </c>
      <c r="F33" s="1185">
        <v>4</v>
      </c>
      <c r="G33" s="1186">
        <v>3.4</v>
      </c>
      <c r="H33" s="1186">
        <v>2.42</v>
      </c>
      <c r="I33" s="1186">
        <v>6.4</v>
      </c>
      <c r="J33" s="1186">
        <v>3.17</v>
      </c>
      <c r="K33" s="1186">
        <v>4.58</v>
      </c>
      <c r="L33" s="1186">
        <v>4.1399999999999997</v>
      </c>
      <c r="M33" s="1186">
        <v>3.81</v>
      </c>
      <c r="N33" s="1186">
        <v>5.12</v>
      </c>
      <c r="O33" s="1186">
        <v>3.72</v>
      </c>
      <c r="P33" s="1186">
        <v>5.17</v>
      </c>
      <c r="Q33" s="1186">
        <v>4.93</v>
      </c>
      <c r="R33" s="1186">
        <v>2.2000000000000002</v>
      </c>
      <c r="S33" s="1186">
        <v>3.49</v>
      </c>
      <c r="T33" s="1186">
        <v>2.84</v>
      </c>
      <c r="U33" s="1186">
        <v>3.49</v>
      </c>
      <c r="V33" s="1186">
        <v>2.77</v>
      </c>
      <c r="W33" s="1186"/>
      <c r="X33" s="1186"/>
      <c r="Y33" s="1186"/>
      <c r="Z33" s="1186"/>
      <c r="AA33" s="1186"/>
      <c r="AB33" s="1186"/>
      <c r="AC33" s="1186"/>
      <c r="AD33" s="1187"/>
    </row>
    <row r="34" spans="1:41" x14ac:dyDescent="0.2">
      <c r="A34">
        <f t="shared" si="1"/>
        <v>2</v>
      </c>
      <c r="B34">
        <v>25</v>
      </c>
      <c r="C34" s="1078">
        <v>2</v>
      </c>
      <c r="D34" s="1181" t="s">
        <v>5347</v>
      </c>
      <c r="E34" s="1077" t="s">
        <v>4518</v>
      </c>
      <c r="F34" s="1185">
        <v>4</v>
      </c>
      <c r="G34" s="1186">
        <v>4.2</v>
      </c>
      <c r="H34" s="1186">
        <v>2</v>
      </c>
      <c r="I34" s="1186">
        <v>8.5</v>
      </c>
      <c r="J34" s="1186">
        <v>2.63</v>
      </c>
      <c r="K34" s="1186">
        <v>7.45</v>
      </c>
      <c r="L34" s="1186">
        <v>3.79</v>
      </c>
      <c r="M34" s="1186">
        <v>6.72</v>
      </c>
      <c r="N34" s="1186">
        <v>4.66</v>
      </c>
      <c r="O34" s="1186">
        <v>6.52</v>
      </c>
      <c r="P34" s="1186">
        <v>5.53</v>
      </c>
      <c r="Q34" s="1186">
        <v>8.4600000000000009</v>
      </c>
      <c r="R34" s="1186">
        <v>2.0499999999999998</v>
      </c>
      <c r="S34" s="1186">
        <v>6.12</v>
      </c>
      <c r="T34" s="1186">
        <v>3.51</v>
      </c>
      <c r="U34" s="1186">
        <v>5.8</v>
      </c>
      <c r="V34" s="1186">
        <v>2.9</v>
      </c>
      <c r="W34" s="1186"/>
      <c r="X34" s="1186"/>
      <c r="Y34" s="1186"/>
      <c r="Z34" s="1186"/>
      <c r="AA34" s="1186"/>
      <c r="AB34" s="1186"/>
      <c r="AC34" s="1186"/>
      <c r="AD34" s="1187"/>
    </row>
    <row r="35" spans="1:41" x14ac:dyDescent="0.2">
      <c r="A35">
        <f t="shared" si="1"/>
        <v>2</v>
      </c>
      <c r="B35">
        <v>26</v>
      </c>
      <c r="C35" s="1078">
        <v>2</v>
      </c>
      <c r="D35" s="1181" t="s">
        <v>5347</v>
      </c>
      <c r="E35" s="1077" t="s">
        <v>4985</v>
      </c>
      <c r="F35" s="1185">
        <v>4</v>
      </c>
      <c r="G35" s="1186">
        <v>3.4</v>
      </c>
      <c r="H35" s="1186">
        <v>2.42</v>
      </c>
      <c r="I35" s="1186">
        <v>6.4</v>
      </c>
      <c r="J35" s="1186">
        <v>3.17</v>
      </c>
      <c r="K35" s="1186">
        <v>4.58</v>
      </c>
      <c r="L35" s="1186">
        <v>4.1399999999999997</v>
      </c>
      <c r="M35" s="1186">
        <v>3.81</v>
      </c>
      <c r="N35" s="1186">
        <v>5.12</v>
      </c>
      <c r="O35" s="1186">
        <v>3.72</v>
      </c>
      <c r="P35" s="1186">
        <v>5.17</v>
      </c>
      <c r="Q35" s="1186">
        <v>4.93</v>
      </c>
      <c r="R35" s="1186">
        <v>2.2000000000000002</v>
      </c>
      <c r="S35" s="1186">
        <v>3.49</v>
      </c>
      <c r="T35" s="1186">
        <v>2.84</v>
      </c>
      <c r="U35" s="1186">
        <v>3.49</v>
      </c>
      <c r="V35" s="1186">
        <v>2.77</v>
      </c>
      <c r="W35" s="1186"/>
      <c r="X35" s="1186"/>
      <c r="Y35" s="1186"/>
      <c r="Z35" s="1186"/>
      <c r="AA35" s="1186"/>
      <c r="AB35" s="1186"/>
      <c r="AC35" s="1186"/>
      <c r="AD35" s="1187"/>
    </row>
    <row r="36" spans="1:41" x14ac:dyDescent="0.2">
      <c r="A36">
        <f t="shared" si="1"/>
        <v>2</v>
      </c>
      <c r="B36">
        <v>27</v>
      </c>
      <c r="C36" s="1078">
        <v>2</v>
      </c>
      <c r="D36" s="1181" t="s">
        <v>5347</v>
      </c>
      <c r="E36" s="1077" t="s">
        <v>4986</v>
      </c>
      <c r="F36" s="1185">
        <v>4</v>
      </c>
      <c r="G36" s="1186">
        <v>4.2</v>
      </c>
      <c r="H36" s="1186">
        <v>2</v>
      </c>
      <c r="I36" s="1186">
        <v>8.5</v>
      </c>
      <c r="J36" s="1186">
        <v>2.63</v>
      </c>
      <c r="K36" s="1186">
        <v>7.45</v>
      </c>
      <c r="L36" s="1186">
        <v>3.79</v>
      </c>
      <c r="M36" s="1186">
        <v>6.72</v>
      </c>
      <c r="N36" s="1186">
        <v>4.66</v>
      </c>
      <c r="O36" s="1186">
        <v>6.52</v>
      </c>
      <c r="P36" s="1186">
        <v>5.53</v>
      </c>
      <c r="Q36" s="1186">
        <v>8.4600000000000009</v>
      </c>
      <c r="R36" s="1186">
        <v>2.0499999999999998</v>
      </c>
      <c r="S36" s="1186">
        <v>6.12</v>
      </c>
      <c r="T36" s="1186">
        <v>3.51</v>
      </c>
      <c r="U36" s="1186">
        <v>5.8</v>
      </c>
      <c r="V36" s="1186">
        <v>2.9</v>
      </c>
      <c r="W36" s="1186"/>
      <c r="X36" s="1186"/>
      <c r="Y36" s="1186"/>
      <c r="Z36" s="1186"/>
      <c r="AA36" s="1186"/>
      <c r="AB36" s="1186"/>
      <c r="AC36" s="1186"/>
      <c r="AD36" s="1187"/>
    </row>
    <row r="37" spans="1:41" x14ac:dyDescent="0.2">
      <c r="A37">
        <f t="shared" si="1"/>
        <v>2</v>
      </c>
      <c r="B37">
        <v>28</v>
      </c>
      <c r="C37" s="1078">
        <v>2</v>
      </c>
      <c r="D37" s="1181" t="s">
        <v>5347</v>
      </c>
      <c r="E37" s="1077" t="s">
        <v>5000</v>
      </c>
      <c r="F37" s="1185">
        <v>1</v>
      </c>
      <c r="G37" s="1186">
        <v>5.8</v>
      </c>
      <c r="H37" s="1186">
        <v>2.4</v>
      </c>
      <c r="I37" s="1186">
        <v>7.5</v>
      </c>
      <c r="J37" s="1186">
        <v>2.9</v>
      </c>
      <c r="K37" s="1186">
        <v>9.5</v>
      </c>
      <c r="L37" s="1186">
        <v>3.7</v>
      </c>
      <c r="M37" s="1186">
        <v>10.3</v>
      </c>
      <c r="N37" s="1186">
        <v>4.2</v>
      </c>
      <c r="O37" s="1186">
        <v>15</v>
      </c>
      <c r="P37" s="1186">
        <v>5.3</v>
      </c>
      <c r="Q37" s="1186">
        <v>6.8</v>
      </c>
      <c r="R37" s="1186">
        <v>1.8</v>
      </c>
      <c r="S37" s="1186">
        <v>10.3</v>
      </c>
      <c r="T37" s="1186">
        <v>2.8</v>
      </c>
      <c r="U37" s="1186">
        <v>14.5</v>
      </c>
      <c r="V37" s="1186">
        <v>3.4</v>
      </c>
      <c r="W37" s="1186"/>
      <c r="X37" s="1186"/>
      <c r="Y37" s="1186"/>
      <c r="Z37" s="1186"/>
      <c r="AA37" s="1186"/>
      <c r="AB37" s="1186"/>
      <c r="AC37" s="1186"/>
      <c r="AD37" s="1187"/>
      <c r="AJ37" s="251" t="s">
        <v>2555</v>
      </c>
    </row>
    <row r="38" spans="1:41" x14ac:dyDescent="0.2">
      <c r="A38">
        <f t="shared" si="1"/>
        <v>2</v>
      </c>
      <c r="B38">
        <v>29</v>
      </c>
      <c r="C38" s="1078">
        <v>2</v>
      </c>
      <c r="D38" s="1181" t="s">
        <v>5347</v>
      </c>
      <c r="E38" s="1077" t="s">
        <v>5001</v>
      </c>
      <c r="F38" s="1185">
        <v>1</v>
      </c>
      <c r="G38" s="1186">
        <v>7</v>
      </c>
      <c r="H38" s="1186">
        <v>2.4</v>
      </c>
      <c r="I38" s="1186">
        <v>9.1</v>
      </c>
      <c r="J38" s="1186">
        <v>2.9</v>
      </c>
      <c r="K38" s="1186">
        <v>11.8</v>
      </c>
      <c r="L38" s="1186">
        <v>3.7</v>
      </c>
      <c r="M38" s="1186">
        <v>12.8</v>
      </c>
      <c r="N38" s="1186">
        <v>4.2</v>
      </c>
      <c r="O38" s="1186">
        <v>18.3</v>
      </c>
      <c r="P38" s="1186">
        <v>5.3</v>
      </c>
      <c r="Q38" s="1186">
        <v>8.6</v>
      </c>
      <c r="R38" s="1186">
        <v>1.9</v>
      </c>
      <c r="S38" s="1186">
        <v>11.2</v>
      </c>
      <c r="T38" s="1186">
        <v>2.7</v>
      </c>
      <c r="U38" s="1186">
        <v>17.3</v>
      </c>
      <c r="V38" s="1186">
        <v>3.3</v>
      </c>
      <c r="W38" s="1186"/>
      <c r="X38" s="1186"/>
      <c r="Y38" s="1186"/>
      <c r="Z38" s="1186"/>
      <c r="AA38" s="1186"/>
      <c r="AB38" s="1186"/>
      <c r="AC38" s="1186"/>
      <c r="AD38" s="1187"/>
      <c r="AH38" s="251" t="s">
        <v>2556</v>
      </c>
      <c r="AJ38" s="251">
        <f>COUNT(AI40:AI239)-1</f>
        <v>50</v>
      </c>
      <c r="AL38" s="251" t="s">
        <v>1849</v>
      </c>
      <c r="AO38" s="251" t="s">
        <v>1342</v>
      </c>
    </row>
    <row r="39" spans="1:41" x14ac:dyDescent="0.2">
      <c r="A39">
        <f t="shared" si="1"/>
        <v>2</v>
      </c>
      <c r="B39">
        <v>30</v>
      </c>
      <c r="C39" s="1078">
        <v>2</v>
      </c>
      <c r="D39" s="1181" t="s">
        <v>5347</v>
      </c>
      <c r="E39" s="1077" t="s">
        <v>5002</v>
      </c>
      <c r="F39" s="1185">
        <v>1</v>
      </c>
      <c r="G39" s="1186">
        <v>8.8000000000000007</v>
      </c>
      <c r="H39" s="1186">
        <v>2.6</v>
      </c>
      <c r="I39" s="1186">
        <v>10.8</v>
      </c>
      <c r="J39" s="1186">
        <v>3</v>
      </c>
      <c r="K39" s="1186">
        <v>13.8</v>
      </c>
      <c r="L39" s="1186">
        <v>3.7</v>
      </c>
      <c r="M39" s="1186">
        <v>14.4</v>
      </c>
      <c r="N39" s="1186">
        <v>4.3</v>
      </c>
      <c r="O39" s="1186">
        <v>22.1</v>
      </c>
      <c r="P39" s="1186">
        <v>5.5</v>
      </c>
      <c r="Q39" s="1186">
        <v>10.4</v>
      </c>
      <c r="R39" s="1186">
        <v>2</v>
      </c>
      <c r="S39" s="1186">
        <v>13.8</v>
      </c>
      <c r="T39" s="1186">
        <v>2.6</v>
      </c>
      <c r="U39" s="1186">
        <v>20.8</v>
      </c>
      <c r="V39" s="1186">
        <v>3.4</v>
      </c>
      <c r="W39" s="1186"/>
      <c r="X39" s="1186"/>
      <c r="Y39" s="1186"/>
      <c r="Z39" s="1186"/>
      <c r="AA39" s="1186"/>
      <c r="AB39" s="1186"/>
      <c r="AC39" s="1186"/>
      <c r="AD39" s="1187"/>
      <c r="AH39" s="251" t="s">
        <v>1343</v>
      </c>
      <c r="AI39" s="251" t="s">
        <v>1850</v>
      </c>
      <c r="AJ39" s="251" t="s">
        <v>1341</v>
      </c>
      <c r="AL39" s="251" t="s">
        <v>1851</v>
      </c>
      <c r="AM39" s="251" t="s">
        <v>1852</v>
      </c>
    </row>
    <row r="40" spans="1:41" x14ac:dyDescent="0.2">
      <c r="A40">
        <f t="shared" si="1"/>
        <v>2</v>
      </c>
      <c r="B40">
        <v>31</v>
      </c>
      <c r="C40" s="1078">
        <v>2</v>
      </c>
      <c r="D40" s="1181" t="s">
        <v>5347</v>
      </c>
      <c r="E40" s="1077" t="s">
        <v>5003</v>
      </c>
      <c r="F40" s="1185">
        <v>4</v>
      </c>
      <c r="G40" s="1186">
        <v>11</v>
      </c>
      <c r="H40" s="1186">
        <v>2.6</v>
      </c>
      <c r="I40" s="1186" t="s">
        <v>4524</v>
      </c>
      <c r="J40" s="1186">
        <v>3.21</v>
      </c>
      <c r="K40" s="1186">
        <v>8.1</v>
      </c>
      <c r="L40" s="1186">
        <v>4.2</v>
      </c>
      <c r="M40" s="1186">
        <v>5.8</v>
      </c>
      <c r="N40" s="1186">
        <v>4.33</v>
      </c>
      <c r="O40" s="1186">
        <v>6</v>
      </c>
      <c r="P40" s="1186">
        <v>4.7</v>
      </c>
      <c r="Q40" s="1186">
        <v>13.7</v>
      </c>
      <c r="R40" s="1186">
        <v>2.41</v>
      </c>
      <c r="S40" s="1186">
        <v>12</v>
      </c>
      <c r="T40" s="1186">
        <v>3.31</v>
      </c>
      <c r="U40" s="1186">
        <v>6.5</v>
      </c>
      <c r="V40" s="1186">
        <v>3.4</v>
      </c>
      <c r="W40" s="1186"/>
      <c r="X40" s="1186"/>
      <c r="Y40" s="1186"/>
      <c r="Z40" s="1186"/>
      <c r="AA40" s="1186"/>
      <c r="AB40" s="1186"/>
      <c r="AC40" s="1186"/>
      <c r="AD40" s="1187"/>
      <c r="AH40" s="251">
        <v>1</v>
      </c>
      <c r="AI40" s="251">
        <f t="shared" ref="AI40:AI71" si="2">MATCH(AH40,$A$10:$A$2000,0)</f>
        <v>1</v>
      </c>
      <c r="AJ40" s="251" t="str">
        <f ca="1">OFFSET($D$9,AI40,0)</f>
        <v>Eigene Werte</v>
      </c>
      <c r="AL40" s="251">
        <f ca="1">AM40</f>
        <v>1836</v>
      </c>
      <c r="AM40" s="251">
        <f ca="1">AH10</f>
        <v>1836</v>
      </c>
      <c r="AN40" s="251" t="str">
        <f t="shared" ref="AN40:AN71" ca="1" si="3">IF(INDEX($C$10:$C$2000,AM40,1)=2,"L/W ",IF(INDEX($C$10:$C$2000,AM40,1)=3,"S/W ",IF(INDEX($C$10:$C$2000,AM40,1)=4,"W/W ","")))&amp;OFFSET($E$9,AM40,0)</f>
        <v/>
      </c>
      <c r="AO40" s="251">
        <f t="shared" ref="AO40:AO71" ca="1" si="4">(INDEX($C$10:$C$2000,AM40,1))</f>
        <v>0</v>
      </c>
    </row>
    <row r="41" spans="1:41" x14ac:dyDescent="0.2">
      <c r="A41">
        <f t="shared" si="1"/>
        <v>2</v>
      </c>
      <c r="B41">
        <v>32</v>
      </c>
      <c r="C41" s="1078">
        <v>2</v>
      </c>
      <c r="D41" s="1181" t="s">
        <v>5347</v>
      </c>
      <c r="E41" s="1077" t="s">
        <v>5004</v>
      </c>
      <c r="F41" s="1185">
        <v>2</v>
      </c>
      <c r="G41" s="1186">
        <v>11</v>
      </c>
      <c r="H41" s="1186">
        <v>2.2999999999999998</v>
      </c>
      <c r="I41" s="1186">
        <v>14.1</v>
      </c>
      <c r="J41" s="1186">
        <v>2.8</v>
      </c>
      <c r="K41" s="1186">
        <v>9.5</v>
      </c>
      <c r="L41" s="1186">
        <v>3.8</v>
      </c>
      <c r="M41" s="1186">
        <v>10.1</v>
      </c>
      <c r="N41" s="1186">
        <v>4.2</v>
      </c>
      <c r="O41" s="1186">
        <v>16.600000000000001</v>
      </c>
      <c r="P41" s="1186">
        <v>5.4</v>
      </c>
      <c r="Q41" s="1186">
        <v>12.7</v>
      </c>
      <c r="R41" s="1186">
        <v>1.8</v>
      </c>
      <c r="S41" s="1186">
        <v>17.5</v>
      </c>
      <c r="T41" s="1186">
        <v>2.5</v>
      </c>
      <c r="U41" s="1186">
        <v>24.8</v>
      </c>
      <c r="V41" s="1186">
        <v>3.6</v>
      </c>
      <c r="W41" s="1186"/>
      <c r="X41" s="1186"/>
      <c r="Y41" s="1186"/>
      <c r="Z41" s="1186"/>
      <c r="AA41" s="1186"/>
      <c r="AB41" s="1186"/>
      <c r="AC41" s="1186"/>
      <c r="AD41" s="1187"/>
      <c r="AH41" s="251">
        <v>2</v>
      </c>
      <c r="AI41" s="251">
        <f t="shared" si="2"/>
        <v>2</v>
      </c>
      <c r="AJ41" s="251" t="str">
        <f ca="1">OFFSET($D$9,AI41,0)</f>
        <v>alpha innotec</v>
      </c>
      <c r="AL41" s="251">
        <f ca="1">AL40+1</f>
        <v>1837</v>
      </c>
      <c r="AM41" s="251" t="e">
        <f t="shared" ref="AM41:AM81" ca="1" si="5">IF(AL41&lt;$AH$13,AL41,"")</f>
        <v>#N/A</v>
      </c>
      <c r="AN41" s="251" t="e">
        <f t="shared" ca="1" si="3"/>
        <v>#N/A</v>
      </c>
      <c r="AO41" s="251" t="e">
        <f t="shared" ca="1" si="4"/>
        <v>#N/A</v>
      </c>
    </row>
    <row r="42" spans="1:41" x14ac:dyDescent="0.2">
      <c r="A42">
        <f t="shared" si="1"/>
        <v>2</v>
      </c>
      <c r="B42">
        <v>33</v>
      </c>
      <c r="C42" s="1078">
        <v>2</v>
      </c>
      <c r="D42" s="1181" t="s">
        <v>5347</v>
      </c>
      <c r="E42" s="1077" t="s">
        <v>5005</v>
      </c>
      <c r="F42" s="1185">
        <v>2</v>
      </c>
      <c r="G42" s="1186">
        <v>15.5</v>
      </c>
      <c r="H42" s="1186">
        <v>2.5</v>
      </c>
      <c r="I42" s="1186">
        <v>19.399999999999999</v>
      </c>
      <c r="J42" s="1186">
        <v>2.8</v>
      </c>
      <c r="K42" s="1186">
        <v>13.2</v>
      </c>
      <c r="L42" s="1186">
        <v>3.8</v>
      </c>
      <c r="M42" s="1186">
        <v>14.1</v>
      </c>
      <c r="N42" s="1186">
        <v>4.2</v>
      </c>
      <c r="O42" s="1186">
        <v>24.2</v>
      </c>
      <c r="P42" s="1186">
        <v>6</v>
      </c>
      <c r="Q42" s="1186">
        <v>18.5</v>
      </c>
      <c r="R42" s="1186">
        <v>1.8</v>
      </c>
      <c r="S42" s="1186">
        <v>26.5</v>
      </c>
      <c r="T42" s="1186">
        <v>2.5</v>
      </c>
      <c r="U42" s="1186">
        <v>39</v>
      </c>
      <c r="V42" s="1186">
        <v>3.5</v>
      </c>
      <c r="W42" s="1186"/>
      <c r="X42" s="1186"/>
      <c r="Y42" s="1186"/>
      <c r="Z42" s="1186"/>
      <c r="AA42" s="1186"/>
      <c r="AB42" s="1186"/>
      <c r="AC42" s="1186"/>
      <c r="AD42" s="1187"/>
      <c r="AH42" s="251">
        <v>3</v>
      </c>
      <c r="AI42" s="251">
        <f t="shared" si="2"/>
        <v>84</v>
      </c>
      <c r="AJ42" s="251" t="str">
        <f ca="1">OFFSET($D$9,AI42,0)</f>
        <v>Atlantic Suisse AG</v>
      </c>
      <c r="AL42" s="251">
        <f t="shared" ref="AL42:AL105" ca="1" si="6">AL41+1</f>
        <v>1838</v>
      </c>
      <c r="AM42" s="251" t="e">
        <f t="shared" ca="1" si="5"/>
        <v>#N/A</v>
      </c>
      <c r="AN42" s="251" t="e">
        <f t="shared" ca="1" si="3"/>
        <v>#N/A</v>
      </c>
      <c r="AO42" s="251" t="e">
        <f t="shared" ca="1" si="4"/>
        <v>#N/A</v>
      </c>
    </row>
    <row r="43" spans="1:41" x14ac:dyDescent="0.2">
      <c r="A43">
        <f t="shared" si="1"/>
        <v>2</v>
      </c>
      <c r="B43">
        <v>34</v>
      </c>
      <c r="C43" s="1078">
        <v>2</v>
      </c>
      <c r="D43" s="1181" t="s">
        <v>5347</v>
      </c>
      <c r="E43" s="1077" t="s">
        <v>5006</v>
      </c>
      <c r="F43" s="1185">
        <v>2</v>
      </c>
      <c r="G43" s="1186">
        <v>19.11</v>
      </c>
      <c r="H43" s="1186">
        <v>2.2000000000000002</v>
      </c>
      <c r="I43" s="1186">
        <v>24.28</v>
      </c>
      <c r="J43" s="1186">
        <v>2.77</v>
      </c>
      <c r="K43" s="1186">
        <v>16.97</v>
      </c>
      <c r="L43" s="1186">
        <v>3.52</v>
      </c>
      <c r="M43" s="1186">
        <v>19.78</v>
      </c>
      <c r="N43" s="1186">
        <v>4.04</v>
      </c>
      <c r="O43" s="1186">
        <v>24.95</v>
      </c>
      <c r="P43" s="1186">
        <v>3.73</v>
      </c>
      <c r="Q43" s="1186">
        <v>24.28</v>
      </c>
      <c r="R43" s="1186">
        <v>1.86</v>
      </c>
      <c r="S43" s="1186">
        <v>19.05</v>
      </c>
      <c r="T43" s="1186">
        <v>2.78</v>
      </c>
      <c r="U43" s="1186">
        <v>24.97</v>
      </c>
      <c r="V43" s="1186">
        <v>3.73</v>
      </c>
      <c r="W43" s="1186"/>
      <c r="X43" s="1186"/>
      <c r="Y43" s="1186"/>
      <c r="Z43" s="1186"/>
      <c r="AA43" s="1186"/>
      <c r="AB43" s="1186"/>
      <c r="AC43" s="1186"/>
      <c r="AD43" s="1187"/>
      <c r="AH43" s="251">
        <v>4</v>
      </c>
      <c r="AI43" s="251">
        <f t="shared" si="2"/>
        <v>109</v>
      </c>
      <c r="AJ43" s="251" t="str">
        <f t="shared" ref="AJ43:AJ104" ca="1" si="7">OFFSET($D$9,AI43,0)</f>
        <v xml:space="preserve">Austria Email </v>
      </c>
      <c r="AL43" s="251">
        <f t="shared" ca="1" si="6"/>
        <v>1839</v>
      </c>
      <c r="AM43" s="251" t="e">
        <f t="shared" ca="1" si="5"/>
        <v>#N/A</v>
      </c>
      <c r="AN43" s="251" t="e">
        <f t="shared" ca="1" si="3"/>
        <v>#N/A</v>
      </c>
      <c r="AO43" s="251" t="e">
        <f t="shared" ca="1" si="4"/>
        <v>#N/A</v>
      </c>
    </row>
    <row r="44" spans="1:41" x14ac:dyDescent="0.2">
      <c r="A44">
        <f t="shared" si="1"/>
        <v>2</v>
      </c>
      <c r="B44">
        <v>35</v>
      </c>
      <c r="C44" s="1078">
        <v>2</v>
      </c>
      <c r="D44" s="1181" t="s">
        <v>5347</v>
      </c>
      <c r="E44" s="1077" t="s">
        <v>4519</v>
      </c>
      <c r="F44" s="1185">
        <v>2</v>
      </c>
      <c r="G44" s="1186">
        <v>29</v>
      </c>
      <c r="H44" s="1186">
        <v>2.4</v>
      </c>
      <c r="I44" s="1186">
        <v>35.700000000000003</v>
      </c>
      <c r="J44" s="1186">
        <v>2.79</v>
      </c>
      <c r="K44" s="1186">
        <v>45.5</v>
      </c>
      <c r="L44" s="1186">
        <v>3.5</v>
      </c>
      <c r="M44" s="1186">
        <v>31.03</v>
      </c>
      <c r="N44" s="1186">
        <v>4.58</v>
      </c>
      <c r="O44" s="1186">
        <v>41.9</v>
      </c>
      <c r="P44" s="1186">
        <v>5.6</v>
      </c>
      <c r="Q44" s="1186">
        <v>36</v>
      </c>
      <c r="R44" s="1186">
        <v>2.2000000000000002</v>
      </c>
      <c r="S44" s="1186">
        <v>31</v>
      </c>
      <c r="T44" s="1186">
        <v>3.1</v>
      </c>
      <c r="U44" s="1186">
        <v>37.799999999999997</v>
      </c>
      <c r="V44" s="1186">
        <v>3.7</v>
      </c>
      <c r="W44" s="1186"/>
      <c r="X44" s="1186"/>
      <c r="Y44" s="1186"/>
      <c r="Z44" s="1186"/>
      <c r="AA44" s="1186"/>
      <c r="AB44" s="1186"/>
      <c r="AC44" s="1186"/>
      <c r="AD44" s="1187"/>
      <c r="AH44" s="251">
        <v>5</v>
      </c>
      <c r="AI44" s="251">
        <f t="shared" si="2"/>
        <v>113</v>
      </c>
      <c r="AJ44" s="251" t="str">
        <f t="shared" ca="1" si="7"/>
        <v>Austria Email AG</v>
      </c>
      <c r="AL44" s="251">
        <f t="shared" ca="1" si="6"/>
        <v>1840</v>
      </c>
      <c r="AM44" s="251" t="e">
        <f t="shared" ca="1" si="5"/>
        <v>#N/A</v>
      </c>
      <c r="AN44" s="251" t="e">
        <f t="shared" ca="1" si="3"/>
        <v>#N/A</v>
      </c>
      <c r="AO44" s="251" t="e">
        <f t="shared" ca="1" si="4"/>
        <v>#N/A</v>
      </c>
    </row>
    <row r="45" spans="1:41" x14ac:dyDescent="0.2">
      <c r="A45">
        <f t="shared" si="1"/>
        <v>2</v>
      </c>
      <c r="B45">
        <v>36</v>
      </c>
      <c r="C45" s="1078">
        <v>2</v>
      </c>
      <c r="D45" s="1181" t="s">
        <v>5347</v>
      </c>
      <c r="E45" s="1077" t="s">
        <v>4520</v>
      </c>
      <c r="F45" s="1185">
        <v>4</v>
      </c>
      <c r="G45" s="1186">
        <v>4.2</v>
      </c>
      <c r="H45" s="1186">
        <v>2.6</v>
      </c>
      <c r="I45" s="1186">
        <v>5.2</v>
      </c>
      <c r="J45" s="1186">
        <v>3</v>
      </c>
      <c r="K45" s="1186">
        <v>4.03</v>
      </c>
      <c r="L45" s="1186">
        <v>4.43</v>
      </c>
      <c r="M45" s="1186">
        <v>5.31</v>
      </c>
      <c r="N45" s="1186">
        <v>5.07</v>
      </c>
      <c r="O45" s="1186">
        <v>5.0999999999999996</v>
      </c>
      <c r="P45" s="1186">
        <v>6</v>
      </c>
      <c r="Q45" s="1186">
        <v>5.55</v>
      </c>
      <c r="R45" s="1186">
        <v>2.19</v>
      </c>
      <c r="S45" s="1186">
        <v>6.32</v>
      </c>
      <c r="T45" s="1186">
        <v>2.97</v>
      </c>
      <c r="U45" s="1186">
        <v>4.68</v>
      </c>
      <c r="V45" s="1186">
        <v>3.31</v>
      </c>
      <c r="W45" s="1186"/>
      <c r="X45" s="1186"/>
      <c r="Y45" s="1186"/>
      <c r="Z45" s="1186"/>
      <c r="AA45" s="1186"/>
      <c r="AB45" s="1186"/>
      <c r="AC45" s="1186"/>
      <c r="AD45" s="1187"/>
      <c r="AH45" s="251">
        <v>6</v>
      </c>
      <c r="AI45" s="251">
        <f t="shared" si="2"/>
        <v>125</v>
      </c>
      <c r="AJ45" s="251" t="str">
        <f t="shared" ca="1" si="7"/>
        <v>Bauer Wärmepumpensysteme</v>
      </c>
      <c r="AL45" s="251">
        <f t="shared" ca="1" si="6"/>
        <v>1841</v>
      </c>
      <c r="AM45" s="251" t="e">
        <f t="shared" ca="1" si="5"/>
        <v>#N/A</v>
      </c>
      <c r="AN45" s="251" t="e">
        <f t="shared" ca="1" si="3"/>
        <v>#N/A</v>
      </c>
      <c r="AO45" s="251" t="e">
        <f t="shared" ca="1" si="4"/>
        <v>#N/A</v>
      </c>
    </row>
    <row r="46" spans="1:41" x14ac:dyDescent="0.2">
      <c r="A46">
        <f t="shared" si="1"/>
        <v>2</v>
      </c>
      <c r="B46">
        <v>37</v>
      </c>
      <c r="C46" s="1078">
        <v>2</v>
      </c>
      <c r="D46" s="1181" t="s">
        <v>5347</v>
      </c>
      <c r="E46" s="1077" t="s">
        <v>4521</v>
      </c>
      <c r="F46" s="1185">
        <v>4</v>
      </c>
      <c r="G46" s="1186">
        <v>6.5</v>
      </c>
      <c r="H46" s="1186">
        <v>2.7</v>
      </c>
      <c r="I46" s="1186">
        <v>7.4</v>
      </c>
      <c r="J46" s="1186">
        <v>3.1</v>
      </c>
      <c r="K46" s="1186">
        <v>5.21</v>
      </c>
      <c r="L46" s="1186">
        <v>4.2699999999999996</v>
      </c>
      <c r="M46" s="1186">
        <v>3.54</v>
      </c>
      <c r="N46" s="1186">
        <v>5.12</v>
      </c>
      <c r="O46" s="1186">
        <v>8.4</v>
      </c>
      <c r="P46" s="1186">
        <v>6</v>
      </c>
      <c r="Q46" s="1186">
        <v>7.66</v>
      </c>
      <c r="R46" s="1186">
        <v>2.25</v>
      </c>
      <c r="S46" s="1186">
        <v>10</v>
      </c>
      <c r="T46" s="1186">
        <v>3.01</v>
      </c>
      <c r="U46" s="1186">
        <v>7.65</v>
      </c>
      <c r="V46" s="1186">
        <v>3.4</v>
      </c>
      <c r="W46" s="1186"/>
      <c r="X46" s="1186"/>
      <c r="Y46" s="1186"/>
      <c r="Z46" s="1186"/>
      <c r="AA46" s="1186"/>
      <c r="AB46" s="1186"/>
      <c r="AC46" s="1186"/>
      <c r="AD46" s="1187"/>
      <c r="AH46" s="251">
        <v>7</v>
      </c>
      <c r="AI46" s="251">
        <f t="shared" si="2"/>
        <v>151</v>
      </c>
      <c r="AJ46" s="251" t="str">
        <f t="shared" ca="1" si="7"/>
        <v>Buderus</v>
      </c>
      <c r="AL46" s="251">
        <f t="shared" ca="1" si="6"/>
        <v>1842</v>
      </c>
      <c r="AM46" s="251" t="e">
        <f t="shared" ca="1" si="5"/>
        <v>#N/A</v>
      </c>
      <c r="AN46" s="251" t="e">
        <f t="shared" ca="1" si="3"/>
        <v>#N/A</v>
      </c>
      <c r="AO46" s="251" t="e">
        <f t="shared" ca="1" si="4"/>
        <v>#N/A</v>
      </c>
    </row>
    <row r="47" spans="1:41" x14ac:dyDescent="0.2">
      <c r="A47">
        <f t="shared" si="1"/>
        <v>2</v>
      </c>
      <c r="B47">
        <v>38</v>
      </c>
      <c r="C47" s="1078">
        <v>2</v>
      </c>
      <c r="D47" s="1181" t="s">
        <v>5347</v>
      </c>
      <c r="E47" s="1077" t="s">
        <v>4522</v>
      </c>
      <c r="F47" s="1185">
        <v>4</v>
      </c>
      <c r="G47" s="1186">
        <v>9.1</v>
      </c>
      <c r="H47" s="1186">
        <v>2.7</v>
      </c>
      <c r="I47" s="1186">
        <v>10.199999999999999</v>
      </c>
      <c r="J47" s="1186">
        <v>3.1</v>
      </c>
      <c r="K47" s="1186">
        <v>7.8</v>
      </c>
      <c r="L47" s="1186">
        <v>4.3600000000000003</v>
      </c>
      <c r="M47" s="1186">
        <v>5.17</v>
      </c>
      <c r="N47" s="1186">
        <v>5.1100000000000003</v>
      </c>
      <c r="O47" s="1186">
        <v>10.6</v>
      </c>
      <c r="P47" s="1186">
        <v>6</v>
      </c>
      <c r="Q47" s="1186">
        <v>10.9</v>
      </c>
      <c r="R47" s="1186">
        <v>2.35</v>
      </c>
      <c r="S47" s="1186">
        <v>13.7</v>
      </c>
      <c r="T47" s="1186">
        <v>3.11</v>
      </c>
      <c r="U47" s="1186">
        <v>9.75</v>
      </c>
      <c r="V47" s="1186">
        <v>3.35</v>
      </c>
      <c r="W47" s="1186"/>
      <c r="X47" s="1186"/>
      <c r="Y47" s="1186"/>
      <c r="Z47" s="1186"/>
      <c r="AA47" s="1186"/>
      <c r="AB47" s="1186"/>
      <c r="AC47" s="1186"/>
      <c r="AD47" s="1187"/>
      <c r="AH47" s="251">
        <v>8</v>
      </c>
      <c r="AI47" s="251">
        <f t="shared" si="2"/>
        <v>260</v>
      </c>
      <c r="AJ47" s="251" t="str">
        <f t="shared" ca="1" si="7"/>
        <v>CTA AG</v>
      </c>
      <c r="AL47" s="251">
        <f t="shared" ca="1" si="6"/>
        <v>1843</v>
      </c>
      <c r="AM47" s="251" t="e">
        <f t="shared" ca="1" si="5"/>
        <v>#N/A</v>
      </c>
      <c r="AN47" s="251" t="e">
        <f t="shared" ca="1" si="3"/>
        <v>#N/A</v>
      </c>
      <c r="AO47" s="251" t="e">
        <f t="shared" ca="1" si="4"/>
        <v>#N/A</v>
      </c>
    </row>
    <row r="48" spans="1:41" x14ac:dyDescent="0.2">
      <c r="A48">
        <f t="shared" si="1"/>
        <v>2</v>
      </c>
      <c r="B48">
        <v>39</v>
      </c>
      <c r="C48" s="1078">
        <v>2</v>
      </c>
      <c r="D48" s="1181" t="s">
        <v>5347</v>
      </c>
      <c r="E48" s="1077" t="s">
        <v>4523</v>
      </c>
      <c r="F48" s="1185">
        <v>4</v>
      </c>
      <c r="G48" s="1186">
        <v>11.2</v>
      </c>
      <c r="H48" s="1186">
        <v>2.6</v>
      </c>
      <c r="I48" s="1186">
        <v>13.5</v>
      </c>
      <c r="J48" s="1186">
        <v>2.9</v>
      </c>
      <c r="K48" s="1186">
        <v>9.9499999999999993</v>
      </c>
      <c r="L48" s="1186">
        <v>4.22</v>
      </c>
      <c r="M48" s="1186">
        <v>5.17</v>
      </c>
      <c r="N48" s="1186">
        <v>5.1100000000000003</v>
      </c>
      <c r="O48" s="1186">
        <v>14.9</v>
      </c>
      <c r="P48" s="1186">
        <v>5.6</v>
      </c>
      <c r="Q48" s="1186">
        <v>14.2</v>
      </c>
      <c r="R48" s="1186">
        <v>2.2000000000000002</v>
      </c>
      <c r="S48" s="1186">
        <v>17</v>
      </c>
      <c r="T48" s="1186">
        <v>2.93</v>
      </c>
      <c r="U48" s="1186">
        <v>13.6</v>
      </c>
      <c r="V48" s="1186">
        <v>3.24</v>
      </c>
      <c r="W48" s="1186"/>
      <c r="X48" s="1186"/>
      <c r="Y48" s="1186"/>
      <c r="Z48" s="1186"/>
      <c r="AA48" s="1186"/>
      <c r="AB48" s="1186"/>
      <c r="AC48" s="1186"/>
      <c r="AD48" s="1187"/>
      <c r="AH48" s="251">
        <v>9</v>
      </c>
      <c r="AI48" s="251">
        <f t="shared" si="2"/>
        <v>367</v>
      </c>
      <c r="AJ48" s="251" t="str">
        <f t="shared" ca="1" si="7"/>
        <v>CTC AG</v>
      </c>
      <c r="AL48" s="251">
        <f t="shared" ca="1" si="6"/>
        <v>1844</v>
      </c>
      <c r="AM48" s="251" t="e">
        <f t="shared" ca="1" si="5"/>
        <v>#N/A</v>
      </c>
      <c r="AN48" s="251" t="e">
        <f t="shared" ca="1" si="3"/>
        <v>#N/A</v>
      </c>
      <c r="AO48" s="251" t="e">
        <f t="shared" ca="1" si="4"/>
        <v>#N/A</v>
      </c>
    </row>
    <row r="49" spans="1:41" x14ac:dyDescent="0.2">
      <c r="A49">
        <f t="shared" si="1"/>
        <v>2</v>
      </c>
      <c r="B49">
        <v>40</v>
      </c>
      <c r="C49" s="1078">
        <v>2</v>
      </c>
      <c r="D49" s="1181" t="s">
        <v>5347</v>
      </c>
      <c r="E49" s="1077" t="s">
        <v>5007</v>
      </c>
      <c r="F49" s="1185">
        <v>1</v>
      </c>
      <c r="G49" s="1186">
        <v>4.7</v>
      </c>
      <c r="H49" s="1186">
        <v>3</v>
      </c>
      <c r="I49" s="1186">
        <v>5.8</v>
      </c>
      <c r="J49" s="1186">
        <v>3.6</v>
      </c>
      <c r="K49" s="1186">
        <v>7.2</v>
      </c>
      <c r="L49" s="1186">
        <v>4.3</v>
      </c>
      <c r="M49" s="1186">
        <v>8.1</v>
      </c>
      <c r="N49" s="1186">
        <v>4.7</v>
      </c>
      <c r="O49" s="1186">
        <v>9.5</v>
      </c>
      <c r="P49" s="1186">
        <v>5.5</v>
      </c>
      <c r="Q49" s="1186">
        <v>6.2</v>
      </c>
      <c r="R49" s="1186">
        <v>2.6</v>
      </c>
      <c r="S49" s="1186">
        <v>8.5</v>
      </c>
      <c r="T49" s="1186">
        <v>3.4</v>
      </c>
      <c r="U49" s="1186">
        <v>9.5</v>
      </c>
      <c r="V49" s="1186">
        <v>3.7</v>
      </c>
      <c r="W49" s="1186"/>
      <c r="X49" s="1186"/>
      <c r="Y49" s="1186"/>
      <c r="Z49" s="1186"/>
      <c r="AA49" s="1186"/>
      <c r="AB49" s="1186"/>
      <c r="AC49" s="1186"/>
      <c r="AD49" s="1187"/>
      <c r="AH49" s="251">
        <v>10</v>
      </c>
      <c r="AI49" s="251">
        <f t="shared" si="2"/>
        <v>415</v>
      </c>
      <c r="AJ49" s="251" t="str">
        <f t="shared" ca="1" si="7"/>
        <v>Templari</v>
      </c>
      <c r="AL49" s="251">
        <f t="shared" ca="1" si="6"/>
        <v>1845</v>
      </c>
      <c r="AM49" s="251" t="e">
        <f t="shared" ca="1" si="5"/>
        <v>#N/A</v>
      </c>
      <c r="AN49" s="251" t="e">
        <f t="shared" ca="1" si="3"/>
        <v>#N/A</v>
      </c>
      <c r="AO49" s="251" t="e">
        <f t="shared" ca="1" si="4"/>
        <v>#N/A</v>
      </c>
    </row>
    <row r="50" spans="1:41" x14ac:dyDescent="0.2">
      <c r="A50">
        <f t="shared" si="1"/>
        <v>2</v>
      </c>
      <c r="B50">
        <v>41</v>
      </c>
      <c r="C50" s="1078">
        <v>2</v>
      </c>
      <c r="D50" s="1181" t="s">
        <v>5347</v>
      </c>
      <c r="E50" s="1077" t="s">
        <v>5008</v>
      </c>
      <c r="F50" s="1185">
        <v>1</v>
      </c>
      <c r="G50" s="1186">
        <v>6.3</v>
      </c>
      <c r="H50" s="1186">
        <v>3.1</v>
      </c>
      <c r="I50" s="1186">
        <v>7.6</v>
      </c>
      <c r="J50" s="1186">
        <v>3.5</v>
      </c>
      <c r="K50" s="1186">
        <v>9.3000000000000007</v>
      </c>
      <c r="L50" s="1186">
        <v>4.2</v>
      </c>
      <c r="M50" s="1186">
        <v>10.5</v>
      </c>
      <c r="N50" s="1186">
        <v>4.5999999999999996</v>
      </c>
      <c r="O50" s="1186">
        <v>12.6</v>
      </c>
      <c r="P50" s="1186">
        <v>5.5</v>
      </c>
      <c r="Q50" s="1186">
        <v>8.1</v>
      </c>
      <c r="R50" s="1186">
        <v>2.6</v>
      </c>
      <c r="S50" s="1186">
        <v>10.8</v>
      </c>
      <c r="T50" s="1186">
        <v>3.1</v>
      </c>
      <c r="U50" s="1186">
        <v>12.7</v>
      </c>
      <c r="V50" s="1186">
        <v>3.6</v>
      </c>
      <c r="W50" s="1186"/>
      <c r="X50" s="1186"/>
      <c r="Y50" s="1186"/>
      <c r="Z50" s="1186"/>
      <c r="AA50" s="1186"/>
      <c r="AB50" s="1186"/>
      <c r="AC50" s="1186"/>
      <c r="AD50" s="1187"/>
      <c r="AH50" s="251">
        <v>11</v>
      </c>
      <c r="AI50" s="251">
        <f t="shared" si="2"/>
        <v>419</v>
      </c>
      <c r="AJ50" s="251" t="str">
        <f t="shared" ca="1" si="7"/>
        <v>Daikin</v>
      </c>
      <c r="AL50" s="251">
        <f t="shared" ca="1" si="6"/>
        <v>1846</v>
      </c>
      <c r="AM50" s="251" t="e">
        <f t="shared" ca="1" si="5"/>
        <v>#N/A</v>
      </c>
      <c r="AN50" s="251" t="e">
        <f t="shared" ca="1" si="3"/>
        <v>#N/A</v>
      </c>
      <c r="AO50" s="251" t="e">
        <f t="shared" ca="1" si="4"/>
        <v>#N/A</v>
      </c>
    </row>
    <row r="51" spans="1:41" x14ac:dyDescent="0.2">
      <c r="A51">
        <f t="shared" si="1"/>
        <v>2</v>
      </c>
      <c r="B51">
        <v>42</v>
      </c>
      <c r="C51" s="1078">
        <v>2</v>
      </c>
      <c r="D51" s="1181" t="s">
        <v>5347</v>
      </c>
      <c r="E51" s="1077" t="s">
        <v>5009</v>
      </c>
      <c r="F51" s="1185">
        <v>1</v>
      </c>
      <c r="G51" s="1186">
        <v>9.5</v>
      </c>
      <c r="H51" s="1186">
        <v>3.1</v>
      </c>
      <c r="I51" s="1186">
        <v>11.2</v>
      </c>
      <c r="J51" s="1186">
        <v>2.6</v>
      </c>
      <c r="K51" s="1186">
        <v>13.9</v>
      </c>
      <c r="L51" s="1186">
        <v>4.3</v>
      </c>
      <c r="M51" s="1186">
        <v>15.5</v>
      </c>
      <c r="N51" s="1186">
        <v>5</v>
      </c>
      <c r="O51" s="1186">
        <v>18.5</v>
      </c>
      <c r="P51" s="1186">
        <v>5.7</v>
      </c>
      <c r="Q51" s="1186">
        <v>11.8</v>
      </c>
      <c r="R51" s="1186">
        <v>2.6</v>
      </c>
      <c r="S51" s="1186">
        <v>15</v>
      </c>
      <c r="T51" s="1186">
        <v>3.4</v>
      </c>
      <c r="U51" s="1186">
        <v>18.399999999999999</v>
      </c>
      <c r="V51" s="1186">
        <v>3.7</v>
      </c>
      <c r="W51" s="1186"/>
      <c r="X51" s="1186"/>
      <c r="Y51" s="1186"/>
      <c r="Z51" s="1186"/>
      <c r="AA51" s="1186"/>
      <c r="AB51" s="1186"/>
      <c r="AC51" s="1186"/>
      <c r="AD51" s="1187"/>
      <c r="AH51" s="251">
        <v>12</v>
      </c>
      <c r="AI51" s="251">
        <f t="shared" si="2"/>
        <v>438</v>
      </c>
      <c r="AJ51" s="251" t="str">
        <f t="shared" ca="1" si="7"/>
        <v>Daikin - Rotex - Domotec</v>
      </c>
      <c r="AL51" s="251">
        <f t="shared" ca="1" si="6"/>
        <v>1847</v>
      </c>
      <c r="AM51" s="251" t="e">
        <f t="shared" ca="1" si="5"/>
        <v>#N/A</v>
      </c>
      <c r="AN51" s="251" t="e">
        <f t="shared" ca="1" si="3"/>
        <v>#N/A</v>
      </c>
      <c r="AO51" s="251" t="e">
        <f t="shared" ca="1" si="4"/>
        <v>#N/A</v>
      </c>
    </row>
    <row r="52" spans="1:41" x14ac:dyDescent="0.2">
      <c r="A52">
        <f t="shared" si="1"/>
        <v>2</v>
      </c>
      <c r="B52">
        <v>43</v>
      </c>
      <c r="C52" s="1078">
        <v>2</v>
      </c>
      <c r="D52" s="1181" t="s">
        <v>5347</v>
      </c>
      <c r="E52" s="1077" t="s">
        <v>5010</v>
      </c>
      <c r="F52" s="1185">
        <v>1</v>
      </c>
      <c r="G52" s="1186">
        <v>13.3</v>
      </c>
      <c r="H52" s="1186">
        <v>3</v>
      </c>
      <c r="I52" s="1186">
        <v>15.6</v>
      </c>
      <c r="J52" s="1186">
        <v>3.5</v>
      </c>
      <c r="K52" s="1186">
        <v>18.7</v>
      </c>
      <c r="L52" s="1186">
        <v>4.2</v>
      </c>
      <c r="M52" s="1186">
        <v>20.8</v>
      </c>
      <c r="N52" s="1186">
        <v>4.5999999999999996</v>
      </c>
      <c r="O52" s="1186">
        <v>25</v>
      </c>
      <c r="P52" s="1186">
        <v>5.5</v>
      </c>
      <c r="Q52" s="1186">
        <v>16.5</v>
      </c>
      <c r="R52" s="1186">
        <v>2.5</v>
      </c>
      <c r="S52" s="1186">
        <v>21.5</v>
      </c>
      <c r="T52" s="1186">
        <v>3.2</v>
      </c>
      <c r="U52" s="1186">
        <v>25.3</v>
      </c>
      <c r="V52" s="1186">
        <v>3.7</v>
      </c>
      <c r="W52" s="1186"/>
      <c r="X52" s="1186"/>
      <c r="Y52" s="1186"/>
      <c r="Z52" s="1186"/>
      <c r="AA52" s="1186"/>
      <c r="AB52" s="1186"/>
      <c r="AC52" s="1186"/>
      <c r="AD52" s="1187"/>
      <c r="AH52" s="251">
        <v>13</v>
      </c>
      <c r="AI52" s="251">
        <f t="shared" si="2"/>
        <v>446</v>
      </c>
      <c r="AJ52" s="251" t="str">
        <f t="shared" ca="1" si="7"/>
        <v>Daikin - TCA</v>
      </c>
      <c r="AL52" s="251">
        <f t="shared" ca="1" si="6"/>
        <v>1848</v>
      </c>
      <c r="AM52" s="251" t="e">
        <f t="shared" ca="1" si="5"/>
        <v>#N/A</v>
      </c>
      <c r="AN52" s="251" t="e">
        <f t="shared" ca="1" si="3"/>
        <v>#N/A</v>
      </c>
      <c r="AO52" s="251" t="e">
        <f t="shared" ca="1" si="4"/>
        <v>#N/A</v>
      </c>
    </row>
    <row r="53" spans="1:41" x14ac:dyDescent="0.2">
      <c r="A53">
        <f t="shared" si="1"/>
        <v>2</v>
      </c>
      <c r="B53">
        <v>44</v>
      </c>
      <c r="C53" s="1078">
        <v>2</v>
      </c>
      <c r="D53" s="1181" t="s">
        <v>5347</v>
      </c>
      <c r="E53" s="1077" t="s">
        <v>5011</v>
      </c>
      <c r="F53" s="1185">
        <v>1</v>
      </c>
      <c r="G53" s="1186">
        <v>16</v>
      </c>
      <c r="H53" s="1186">
        <v>3</v>
      </c>
      <c r="I53" s="1186">
        <v>19.5</v>
      </c>
      <c r="J53" s="1186">
        <v>3.5</v>
      </c>
      <c r="K53" s="1186">
        <v>23.2</v>
      </c>
      <c r="L53" s="1186">
        <v>4</v>
      </c>
      <c r="M53" s="1186">
        <v>26</v>
      </c>
      <c r="N53" s="1186">
        <v>4.5</v>
      </c>
      <c r="O53" s="1186">
        <v>31.2</v>
      </c>
      <c r="P53" s="1186">
        <v>5.3</v>
      </c>
      <c r="Q53" s="1186">
        <v>20.100000000000001</v>
      </c>
      <c r="R53" s="1186">
        <v>2.5</v>
      </c>
      <c r="S53" s="1186">
        <v>26.1</v>
      </c>
      <c r="T53" s="1186">
        <v>3.2</v>
      </c>
      <c r="U53" s="1186">
        <v>32</v>
      </c>
      <c r="V53" s="1186">
        <v>3.6</v>
      </c>
      <c r="W53" s="1186"/>
      <c r="X53" s="1186"/>
      <c r="Y53" s="1186"/>
      <c r="Z53" s="1186"/>
      <c r="AA53" s="1186"/>
      <c r="AB53" s="1186"/>
      <c r="AC53" s="1186"/>
      <c r="AD53" s="1187"/>
      <c r="AH53" s="251">
        <v>14</v>
      </c>
      <c r="AI53" s="251">
        <f t="shared" si="2"/>
        <v>452</v>
      </c>
      <c r="AJ53" s="251" t="str">
        <f t="shared" ca="1" si="7"/>
        <v>Dimplex</v>
      </c>
      <c r="AL53" s="251">
        <f t="shared" ca="1" si="6"/>
        <v>1849</v>
      </c>
      <c r="AM53" s="251" t="e">
        <f t="shared" ca="1" si="5"/>
        <v>#N/A</v>
      </c>
      <c r="AN53" s="251" t="e">
        <f t="shared" ca="1" si="3"/>
        <v>#N/A</v>
      </c>
      <c r="AO53" s="251" t="e">
        <f t="shared" ca="1" si="4"/>
        <v>#N/A</v>
      </c>
    </row>
    <row r="54" spans="1:41" x14ac:dyDescent="0.2">
      <c r="A54">
        <f t="shared" si="1"/>
        <v>2</v>
      </c>
      <c r="B54">
        <v>45</v>
      </c>
      <c r="C54" s="1078">
        <v>2</v>
      </c>
      <c r="D54" s="1181" t="s">
        <v>5347</v>
      </c>
      <c r="E54" s="1077" t="s">
        <v>5012</v>
      </c>
      <c r="F54" s="1185">
        <v>1</v>
      </c>
      <c r="G54" s="1186">
        <v>21.5</v>
      </c>
      <c r="H54" s="1186">
        <v>3</v>
      </c>
      <c r="I54" s="1186">
        <v>25.6</v>
      </c>
      <c r="J54" s="1186">
        <v>3.5</v>
      </c>
      <c r="K54" s="1186">
        <v>29.8</v>
      </c>
      <c r="L54" s="1186">
        <v>4</v>
      </c>
      <c r="M54" s="1186">
        <v>32.9</v>
      </c>
      <c r="N54" s="1186">
        <v>4.4000000000000004</v>
      </c>
      <c r="O54" s="1186">
        <v>39</v>
      </c>
      <c r="P54" s="1186">
        <v>5.2</v>
      </c>
      <c r="Q54" s="1186">
        <v>27.5</v>
      </c>
      <c r="R54" s="1186">
        <v>2.5</v>
      </c>
      <c r="S54" s="1186">
        <v>34.5</v>
      </c>
      <c r="T54" s="1186">
        <v>3.2</v>
      </c>
      <c r="U54" s="1186">
        <v>42</v>
      </c>
      <c r="V54" s="1186">
        <v>3.6</v>
      </c>
      <c r="W54" s="1186"/>
      <c r="X54" s="1186"/>
      <c r="Y54" s="1186"/>
      <c r="Z54" s="1186"/>
      <c r="AA54" s="1186"/>
      <c r="AB54" s="1186"/>
      <c r="AC54" s="1186"/>
      <c r="AD54" s="1186"/>
      <c r="AH54" s="251">
        <v>15</v>
      </c>
      <c r="AI54" s="251">
        <f t="shared" si="2"/>
        <v>527</v>
      </c>
      <c r="AJ54" s="251" t="str">
        <f t="shared" ca="1" si="7"/>
        <v>drexel und weiss</v>
      </c>
      <c r="AL54" s="251">
        <f t="shared" ca="1" si="6"/>
        <v>1850</v>
      </c>
      <c r="AM54" s="251" t="e">
        <f t="shared" ca="1" si="5"/>
        <v>#N/A</v>
      </c>
      <c r="AN54" s="251" t="e">
        <f t="shared" ca="1" si="3"/>
        <v>#N/A</v>
      </c>
      <c r="AO54" s="251" t="e">
        <f t="shared" ca="1" si="4"/>
        <v>#N/A</v>
      </c>
    </row>
    <row r="55" spans="1:41" x14ac:dyDescent="0.2">
      <c r="A55">
        <f t="shared" si="1"/>
        <v>2</v>
      </c>
      <c r="B55">
        <v>46</v>
      </c>
      <c r="C55" s="1078">
        <v>3</v>
      </c>
      <c r="D55" s="1181" t="s">
        <v>5347</v>
      </c>
      <c r="E55" s="1077" t="s">
        <v>5013</v>
      </c>
      <c r="F55" s="1185">
        <v>4</v>
      </c>
      <c r="G55" s="1186"/>
      <c r="H55" s="1186"/>
      <c r="I55" s="1186"/>
      <c r="J55" s="1186"/>
      <c r="K55" s="1186"/>
      <c r="L55" s="1186"/>
      <c r="M55" s="1186"/>
      <c r="N55" s="1186"/>
      <c r="O55" s="1186"/>
      <c r="P55" s="1186"/>
      <c r="Q55" s="1186"/>
      <c r="R55" s="1186"/>
      <c r="S55" s="1186"/>
      <c r="T55" s="1186"/>
      <c r="U55" s="1186"/>
      <c r="V55" s="1186"/>
      <c r="W55" s="1186">
        <v>5.95</v>
      </c>
      <c r="X55" s="1186">
        <v>4.25</v>
      </c>
      <c r="Y55" s="1186">
        <v>5.17</v>
      </c>
      <c r="Z55" s="1186">
        <v>2.87</v>
      </c>
      <c r="AA55" s="1186"/>
      <c r="AB55" s="1186"/>
      <c r="AC55" s="1186"/>
      <c r="AD55" s="1186"/>
      <c r="AH55" s="251">
        <v>16</v>
      </c>
      <c r="AI55" s="251">
        <f t="shared" si="2"/>
        <v>532</v>
      </c>
      <c r="AJ55" s="251" t="str">
        <f t="shared" ca="1" si="7"/>
        <v>ELCO</v>
      </c>
      <c r="AL55" s="251">
        <f t="shared" ca="1" si="6"/>
        <v>1851</v>
      </c>
      <c r="AM55" s="251" t="e">
        <f t="shared" ca="1" si="5"/>
        <v>#N/A</v>
      </c>
      <c r="AN55" s="251" t="e">
        <f t="shared" ca="1" si="3"/>
        <v>#N/A</v>
      </c>
      <c r="AO55" s="251" t="e">
        <f t="shared" ca="1" si="4"/>
        <v>#N/A</v>
      </c>
    </row>
    <row r="56" spans="1:41" x14ac:dyDescent="0.2">
      <c r="A56">
        <f t="shared" si="1"/>
        <v>2</v>
      </c>
      <c r="B56">
        <v>47</v>
      </c>
      <c r="C56" s="1078">
        <v>3</v>
      </c>
      <c r="D56" s="1181" t="s">
        <v>5347</v>
      </c>
      <c r="E56" s="1077" t="s">
        <v>5014</v>
      </c>
      <c r="F56" s="1185">
        <v>4</v>
      </c>
      <c r="G56" s="1186"/>
      <c r="H56" s="1186"/>
      <c r="I56" s="1186"/>
      <c r="J56" s="1186"/>
      <c r="K56" s="1186"/>
      <c r="L56" s="1186"/>
      <c r="M56" s="1186"/>
      <c r="N56" s="1186"/>
      <c r="O56" s="1186"/>
      <c r="P56" s="1186"/>
      <c r="Q56" s="1186"/>
      <c r="R56" s="1186"/>
      <c r="S56" s="1186"/>
      <c r="T56" s="1186"/>
      <c r="U56" s="1186"/>
      <c r="V56" s="1186"/>
      <c r="W56" s="1186">
        <v>8.65</v>
      </c>
      <c r="X56" s="1186">
        <v>3.93</v>
      </c>
      <c r="Y56" s="1186">
        <v>8.18</v>
      </c>
      <c r="Z56" s="1186">
        <v>2.92</v>
      </c>
      <c r="AA56" s="1186"/>
      <c r="AB56" s="1186"/>
      <c r="AC56" s="1186"/>
      <c r="AD56" s="1186"/>
      <c r="AH56" s="251">
        <v>17</v>
      </c>
      <c r="AI56" s="251">
        <f t="shared" si="2"/>
        <v>581</v>
      </c>
      <c r="AJ56" s="251" t="str">
        <f t="shared" ca="1" si="7"/>
        <v>Faivre Energie SA</v>
      </c>
      <c r="AL56" s="251">
        <f t="shared" ca="1" si="6"/>
        <v>1852</v>
      </c>
      <c r="AM56" s="251" t="e">
        <f t="shared" ca="1" si="5"/>
        <v>#N/A</v>
      </c>
      <c r="AN56" s="251" t="e">
        <f t="shared" ca="1" si="3"/>
        <v>#N/A</v>
      </c>
      <c r="AO56" s="251" t="e">
        <f t="shared" ca="1" si="4"/>
        <v>#N/A</v>
      </c>
    </row>
    <row r="57" spans="1:41" x14ac:dyDescent="0.2">
      <c r="A57">
        <f t="shared" si="1"/>
        <v>2</v>
      </c>
      <c r="B57">
        <v>48</v>
      </c>
      <c r="C57" s="1078">
        <v>3</v>
      </c>
      <c r="D57" s="1181" t="s">
        <v>5347</v>
      </c>
      <c r="E57" s="1077" t="s">
        <v>5015</v>
      </c>
      <c r="F57" s="1185">
        <v>4</v>
      </c>
      <c r="G57" s="1186"/>
      <c r="H57" s="1186"/>
      <c r="I57" s="1186"/>
      <c r="J57" s="1186"/>
      <c r="K57" s="1186"/>
      <c r="L57" s="1186"/>
      <c r="M57" s="1186"/>
      <c r="N57" s="1186"/>
      <c r="O57" s="1186"/>
      <c r="P57" s="1186"/>
      <c r="Q57" s="1186"/>
      <c r="R57" s="1186"/>
      <c r="S57" s="1186"/>
      <c r="T57" s="1186"/>
      <c r="U57" s="1186"/>
      <c r="V57" s="1186"/>
      <c r="W57" s="1186">
        <v>13.56</v>
      </c>
      <c r="X57" s="1186">
        <v>4.12</v>
      </c>
      <c r="Y57" s="1186">
        <v>12.53</v>
      </c>
      <c r="Z57" s="1186">
        <v>3</v>
      </c>
      <c r="AA57" s="1186"/>
      <c r="AB57" s="1186"/>
      <c r="AC57" s="1186"/>
      <c r="AD57" s="1186"/>
      <c r="AH57" s="251">
        <v>18</v>
      </c>
      <c r="AI57" s="251">
        <f t="shared" si="2"/>
        <v>646</v>
      </c>
      <c r="AJ57" s="251" t="str">
        <f t="shared" ca="1" si="7"/>
        <v>FDS Distribution</v>
      </c>
      <c r="AL57" s="251">
        <f t="shared" ca="1" si="6"/>
        <v>1853</v>
      </c>
      <c r="AM57" s="251" t="e">
        <f t="shared" ca="1" si="5"/>
        <v>#N/A</v>
      </c>
      <c r="AN57" s="251" t="e">
        <f t="shared" ca="1" si="3"/>
        <v>#N/A</v>
      </c>
      <c r="AO57" s="251" t="e">
        <f t="shared" ca="1" si="4"/>
        <v>#N/A</v>
      </c>
    </row>
    <row r="58" spans="1:41" x14ac:dyDescent="0.2">
      <c r="A58">
        <f t="shared" si="1"/>
        <v>2</v>
      </c>
      <c r="B58">
        <v>49</v>
      </c>
      <c r="C58" s="1078">
        <v>3</v>
      </c>
      <c r="D58" s="1181" t="s">
        <v>5347</v>
      </c>
      <c r="E58" s="1077" t="s">
        <v>5016</v>
      </c>
      <c r="F58" s="1185">
        <v>4</v>
      </c>
      <c r="G58" s="1186"/>
      <c r="H58" s="1186"/>
      <c r="I58" s="1186"/>
      <c r="J58" s="1186"/>
      <c r="K58" s="1186"/>
      <c r="L58" s="1186"/>
      <c r="M58" s="1186"/>
      <c r="N58" s="1186"/>
      <c r="O58" s="1186"/>
      <c r="P58" s="1186"/>
      <c r="Q58" s="1186"/>
      <c r="R58" s="1186"/>
      <c r="S58" s="1186"/>
      <c r="T58" s="1186"/>
      <c r="U58" s="1186"/>
      <c r="V58" s="1186"/>
      <c r="W58" s="1186">
        <v>17.2</v>
      </c>
      <c r="X58" s="1186">
        <v>3.74</v>
      </c>
      <c r="Y58" s="1186">
        <v>17</v>
      </c>
      <c r="Z58" s="1186">
        <v>2.79</v>
      </c>
      <c r="AA58" s="1186"/>
      <c r="AB58" s="1186"/>
      <c r="AC58" s="1186"/>
      <c r="AD58" s="1186"/>
      <c r="AH58" s="251">
        <v>19</v>
      </c>
      <c r="AI58" s="251">
        <f t="shared" si="2"/>
        <v>659</v>
      </c>
      <c r="AJ58" s="251" t="str">
        <f t="shared" ca="1" si="7"/>
        <v>FDS Distribution-Templari</v>
      </c>
      <c r="AL58" s="251">
        <f t="shared" ca="1" si="6"/>
        <v>1854</v>
      </c>
      <c r="AM58" s="251" t="e">
        <f t="shared" ca="1" si="5"/>
        <v>#N/A</v>
      </c>
      <c r="AN58" s="251" t="e">
        <f t="shared" ca="1" si="3"/>
        <v>#N/A</v>
      </c>
      <c r="AO58" s="251" t="e">
        <f t="shared" ca="1" si="4"/>
        <v>#N/A</v>
      </c>
    </row>
    <row r="59" spans="1:41" x14ac:dyDescent="0.2">
      <c r="A59">
        <f t="shared" si="1"/>
        <v>2</v>
      </c>
      <c r="B59">
        <v>50</v>
      </c>
      <c r="C59" s="1078">
        <v>3</v>
      </c>
      <c r="D59" s="1181" t="s">
        <v>5347</v>
      </c>
      <c r="E59" s="1077" t="s">
        <v>5017</v>
      </c>
      <c r="F59" s="1185">
        <v>1</v>
      </c>
      <c r="G59" s="1186"/>
      <c r="H59" s="1186"/>
      <c r="I59" s="1186"/>
      <c r="J59" s="1186"/>
      <c r="K59" s="1186"/>
      <c r="L59" s="1186"/>
      <c r="M59" s="1186"/>
      <c r="N59" s="1186"/>
      <c r="O59" s="1186"/>
      <c r="P59" s="1186"/>
      <c r="Q59" s="1186"/>
      <c r="R59" s="1186"/>
      <c r="S59" s="1186"/>
      <c r="T59" s="1186"/>
      <c r="U59" s="1186"/>
      <c r="V59" s="1186"/>
      <c r="W59" s="1186">
        <v>4.7</v>
      </c>
      <c r="X59" s="1186">
        <v>4.7</v>
      </c>
      <c r="Y59" s="1186">
        <v>4.16</v>
      </c>
      <c r="Z59" s="1186">
        <v>2.58</v>
      </c>
      <c r="AA59" s="1186"/>
      <c r="AB59" s="1186"/>
      <c r="AC59" s="1186"/>
      <c r="AD59" s="1186"/>
      <c r="AH59" s="251">
        <v>20</v>
      </c>
      <c r="AI59" s="251">
        <f t="shared" si="2"/>
        <v>685</v>
      </c>
      <c r="AJ59" s="251" t="str">
        <f t="shared" ca="1" si="7"/>
        <v>Fischerkälte-Mitsubishi Electric</v>
      </c>
      <c r="AL59" s="251">
        <f t="shared" ca="1" si="6"/>
        <v>1855</v>
      </c>
      <c r="AM59" s="251" t="e">
        <f t="shared" ca="1" si="5"/>
        <v>#N/A</v>
      </c>
      <c r="AN59" s="251" t="e">
        <f t="shared" ca="1" si="3"/>
        <v>#N/A</v>
      </c>
      <c r="AO59" s="251" t="e">
        <f t="shared" ca="1" si="4"/>
        <v>#N/A</v>
      </c>
    </row>
    <row r="60" spans="1:41" x14ac:dyDescent="0.2">
      <c r="A60">
        <f t="shared" si="1"/>
        <v>2</v>
      </c>
      <c r="B60">
        <v>51</v>
      </c>
      <c r="C60" s="1081">
        <v>3</v>
      </c>
      <c r="D60" s="1181" t="s">
        <v>5347</v>
      </c>
      <c r="E60" s="1082" t="s">
        <v>5018</v>
      </c>
      <c r="F60" s="1188">
        <v>1</v>
      </c>
      <c r="G60" s="1189"/>
      <c r="H60" s="1189"/>
      <c r="I60" s="1189"/>
      <c r="J60" s="1189"/>
      <c r="K60" s="1189"/>
      <c r="L60" s="1189"/>
      <c r="M60" s="1189"/>
      <c r="N60" s="1189"/>
      <c r="O60" s="1189"/>
      <c r="P60" s="1189"/>
      <c r="Q60" s="1189"/>
      <c r="R60" s="1189"/>
      <c r="S60" s="1189"/>
      <c r="T60" s="1189"/>
      <c r="U60" s="1189"/>
      <c r="V60" s="1189"/>
      <c r="W60" s="1189">
        <v>7.7</v>
      </c>
      <c r="X60" s="1189">
        <v>4.9000000000000004</v>
      </c>
      <c r="Y60" s="1189">
        <v>6.49</v>
      </c>
      <c r="Z60" s="1189">
        <v>2.91</v>
      </c>
      <c r="AA60" s="1189"/>
      <c r="AB60" s="1189"/>
      <c r="AC60" s="1189"/>
      <c r="AD60" s="1189"/>
      <c r="AH60" s="251">
        <v>21</v>
      </c>
      <c r="AI60" s="251">
        <f t="shared" si="2"/>
        <v>695</v>
      </c>
      <c r="AJ60" s="251" t="str">
        <f t="shared" ca="1" si="7"/>
        <v>Heim AG</v>
      </c>
      <c r="AL60" s="251">
        <f t="shared" ca="1" si="6"/>
        <v>1856</v>
      </c>
      <c r="AM60" s="251" t="e">
        <f t="shared" ca="1" si="5"/>
        <v>#N/A</v>
      </c>
      <c r="AN60" s="251" t="e">
        <f t="shared" ca="1" si="3"/>
        <v>#N/A</v>
      </c>
      <c r="AO60" s="251" t="e">
        <f t="shared" ca="1" si="4"/>
        <v>#N/A</v>
      </c>
    </row>
    <row r="61" spans="1:41" x14ac:dyDescent="0.2">
      <c r="A61">
        <f t="shared" si="1"/>
        <v>2</v>
      </c>
      <c r="B61">
        <v>52</v>
      </c>
      <c r="C61" s="1190">
        <v>3</v>
      </c>
      <c r="D61" s="1181" t="s">
        <v>5347</v>
      </c>
      <c r="E61" s="1191" t="s">
        <v>5019</v>
      </c>
      <c r="F61" s="1192">
        <v>1</v>
      </c>
      <c r="G61" s="1193"/>
      <c r="H61" s="1193"/>
      <c r="I61" s="1193"/>
      <c r="J61" s="1193"/>
      <c r="K61" s="1193"/>
      <c r="L61" s="1193"/>
      <c r="M61" s="1193"/>
      <c r="N61" s="1193"/>
      <c r="O61" s="1193"/>
      <c r="P61" s="1193"/>
      <c r="Q61" s="1193"/>
      <c r="R61" s="1193"/>
      <c r="S61" s="1193"/>
      <c r="T61" s="1193"/>
      <c r="U61" s="1193"/>
      <c r="V61" s="1193"/>
      <c r="W61" s="1193">
        <v>9.34</v>
      </c>
      <c r="X61" s="1193">
        <v>5.05</v>
      </c>
      <c r="Y61" s="1193">
        <v>8.3000000000000007</v>
      </c>
      <c r="Z61" s="1193">
        <v>2.82</v>
      </c>
      <c r="AA61" s="1193"/>
      <c r="AB61" s="1193"/>
      <c r="AC61" s="1193"/>
      <c r="AD61" s="1193"/>
      <c r="AH61" s="251">
        <v>22</v>
      </c>
      <c r="AI61" s="251">
        <f t="shared" si="2"/>
        <v>867</v>
      </c>
      <c r="AJ61" s="251" t="str">
        <f t="shared" ca="1" si="7"/>
        <v>Heliotherm</v>
      </c>
      <c r="AL61" s="251">
        <f t="shared" ca="1" si="6"/>
        <v>1857</v>
      </c>
      <c r="AM61" s="251" t="e">
        <f t="shared" ca="1" si="5"/>
        <v>#N/A</v>
      </c>
      <c r="AN61" s="251" t="e">
        <f t="shared" ca="1" si="3"/>
        <v>#N/A</v>
      </c>
      <c r="AO61" s="251" t="e">
        <f t="shared" ca="1" si="4"/>
        <v>#N/A</v>
      </c>
    </row>
    <row r="62" spans="1:41" x14ac:dyDescent="0.2">
      <c r="A62">
        <f t="shared" si="1"/>
        <v>2</v>
      </c>
      <c r="B62">
        <v>53</v>
      </c>
      <c r="C62" s="1078">
        <v>3</v>
      </c>
      <c r="D62" s="1181" t="s">
        <v>5347</v>
      </c>
      <c r="E62" s="1191" t="s">
        <v>5020</v>
      </c>
      <c r="F62" s="1185">
        <v>1</v>
      </c>
      <c r="G62" s="1186"/>
      <c r="H62" s="1186"/>
      <c r="I62" s="1186"/>
      <c r="J62" s="1186"/>
      <c r="K62" s="1186"/>
      <c r="L62" s="1186"/>
      <c r="M62" s="1186"/>
      <c r="N62" s="1186"/>
      <c r="O62" s="1186"/>
      <c r="P62" s="1186"/>
      <c r="Q62" s="1186"/>
      <c r="R62" s="1186"/>
      <c r="S62" s="1186"/>
      <c r="T62" s="1186"/>
      <c r="U62" s="1186"/>
      <c r="V62" s="1186"/>
      <c r="W62" s="1186">
        <v>12.18</v>
      </c>
      <c r="X62" s="1186">
        <v>5</v>
      </c>
      <c r="Y62" s="1186">
        <v>10.63</v>
      </c>
      <c r="Z62" s="1186">
        <v>2.97</v>
      </c>
      <c r="AA62" s="1186"/>
      <c r="AB62" s="1186"/>
      <c r="AC62" s="1186"/>
      <c r="AD62" s="1186"/>
      <c r="AH62" s="251">
        <v>23</v>
      </c>
      <c r="AI62" s="251">
        <f t="shared" si="2"/>
        <v>886</v>
      </c>
      <c r="AJ62" s="251" t="str">
        <f t="shared" ca="1" si="7"/>
        <v>Heliotherm-TCA</v>
      </c>
      <c r="AL62" s="251">
        <f t="shared" ca="1" si="6"/>
        <v>1858</v>
      </c>
      <c r="AM62" s="251" t="e">
        <f t="shared" ca="1" si="5"/>
        <v>#N/A</v>
      </c>
      <c r="AN62" s="251" t="e">
        <f t="shared" ca="1" si="3"/>
        <v>#N/A</v>
      </c>
      <c r="AO62" s="251" t="e">
        <f t="shared" ca="1" si="4"/>
        <v>#N/A</v>
      </c>
    </row>
    <row r="63" spans="1:41" x14ac:dyDescent="0.2">
      <c r="A63">
        <f t="shared" si="1"/>
        <v>2</v>
      </c>
      <c r="B63">
        <v>54</v>
      </c>
      <c r="C63" s="1078">
        <v>3</v>
      </c>
      <c r="D63" s="1181" t="s">
        <v>5347</v>
      </c>
      <c r="E63" s="1191" t="s">
        <v>5021</v>
      </c>
      <c r="F63" s="1185">
        <v>1</v>
      </c>
      <c r="G63" s="1186"/>
      <c r="H63" s="1186"/>
      <c r="I63" s="1186"/>
      <c r="J63" s="1186"/>
      <c r="K63" s="1186"/>
      <c r="L63" s="1186"/>
      <c r="M63" s="1186"/>
      <c r="N63" s="1186"/>
      <c r="O63" s="1186"/>
      <c r="P63" s="1186"/>
      <c r="Q63" s="1186"/>
      <c r="R63" s="1186"/>
      <c r="S63" s="1186"/>
      <c r="T63" s="1186"/>
      <c r="U63" s="1186"/>
      <c r="V63" s="1186"/>
      <c r="W63" s="1186">
        <v>13.5</v>
      </c>
      <c r="X63" s="1186">
        <v>5.08</v>
      </c>
      <c r="Y63" s="1186">
        <v>11.76</v>
      </c>
      <c r="Z63" s="1186">
        <v>2.94</v>
      </c>
      <c r="AA63" s="1186"/>
      <c r="AB63" s="1186"/>
      <c r="AC63" s="1186"/>
      <c r="AD63" s="1186"/>
      <c r="AH63" s="251">
        <v>24</v>
      </c>
      <c r="AI63" s="251">
        <f t="shared" si="2"/>
        <v>901</v>
      </c>
      <c r="AJ63" s="251" t="str">
        <f t="shared" ca="1" si="7"/>
        <v>Hoval</v>
      </c>
      <c r="AL63" s="251">
        <f t="shared" ca="1" si="6"/>
        <v>1859</v>
      </c>
      <c r="AM63" s="251" t="e">
        <f t="shared" ca="1" si="5"/>
        <v>#N/A</v>
      </c>
      <c r="AN63" s="251" t="e">
        <f t="shared" ca="1" si="3"/>
        <v>#N/A</v>
      </c>
      <c r="AO63" s="251" t="e">
        <f t="shared" ca="1" si="4"/>
        <v>#N/A</v>
      </c>
    </row>
    <row r="64" spans="1:41" x14ac:dyDescent="0.2">
      <c r="A64">
        <f t="shared" si="1"/>
        <v>2</v>
      </c>
      <c r="B64">
        <v>55</v>
      </c>
      <c r="C64" s="1078">
        <v>3</v>
      </c>
      <c r="D64" s="1181" t="s">
        <v>5347</v>
      </c>
      <c r="E64" s="1191" t="s">
        <v>5022</v>
      </c>
      <c r="F64" s="1185">
        <v>1</v>
      </c>
      <c r="G64" s="1186"/>
      <c r="H64" s="1186"/>
      <c r="I64" s="1186"/>
      <c r="J64" s="1186"/>
      <c r="K64" s="1186"/>
      <c r="L64" s="1186"/>
      <c r="M64" s="1186"/>
      <c r="N64" s="1186"/>
      <c r="O64" s="1186"/>
      <c r="P64" s="1186"/>
      <c r="Q64" s="1186"/>
      <c r="R64" s="1186"/>
      <c r="S64" s="1186"/>
      <c r="T64" s="1186"/>
      <c r="U64" s="1186"/>
      <c r="V64" s="1186"/>
      <c r="W64" s="1186">
        <v>16.86</v>
      </c>
      <c r="X64" s="1186">
        <v>4.93</v>
      </c>
      <c r="Y64" s="1186">
        <v>15.59</v>
      </c>
      <c r="Z64" s="1186">
        <v>2.88</v>
      </c>
      <c r="AA64" s="1186"/>
      <c r="AB64" s="1186"/>
      <c r="AC64" s="1186"/>
      <c r="AD64" s="1186"/>
      <c r="AH64" s="251">
        <v>25</v>
      </c>
      <c r="AI64" s="251">
        <f t="shared" si="2"/>
        <v>985</v>
      </c>
      <c r="AJ64" s="251" t="str">
        <f t="shared" ca="1" si="7"/>
        <v>HSB</v>
      </c>
      <c r="AL64" s="251">
        <f t="shared" ca="1" si="6"/>
        <v>1860</v>
      </c>
      <c r="AM64" s="251" t="e">
        <f t="shared" ca="1" si="5"/>
        <v>#N/A</v>
      </c>
      <c r="AN64" s="251" t="e">
        <f t="shared" ca="1" si="3"/>
        <v>#N/A</v>
      </c>
      <c r="AO64" s="251" t="e">
        <f t="shared" ca="1" si="4"/>
        <v>#N/A</v>
      </c>
    </row>
    <row r="65" spans="1:41" x14ac:dyDescent="0.2">
      <c r="A65">
        <f t="shared" si="1"/>
        <v>2</v>
      </c>
      <c r="B65">
        <v>56</v>
      </c>
      <c r="C65" s="1081">
        <v>3</v>
      </c>
      <c r="D65" s="1181" t="s">
        <v>5347</v>
      </c>
      <c r="E65" s="1082" t="s">
        <v>5023</v>
      </c>
      <c r="F65" s="1188">
        <v>1</v>
      </c>
      <c r="G65" s="1189"/>
      <c r="H65" s="1189"/>
      <c r="I65" s="1189"/>
      <c r="J65" s="1189"/>
      <c r="K65" s="1189"/>
      <c r="L65" s="1189"/>
      <c r="M65" s="1189"/>
      <c r="N65" s="1189"/>
      <c r="O65" s="1189"/>
      <c r="P65" s="1189"/>
      <c r="Q65" s="1189"/>
      <c r="R65" s="1189"/>
      <c r="S65" s="1189"/>
      <c r="T65" s="1189"/>
      <c r="U65" s="1189"/>
      <c r="V65" s="1189"/>
      <c r="W65" s="1189">
        <v>18.600000000000001</v>
      </c>
      <c r="X65" s="1189">
        <v>4.87</v>
      </c>
      <c r="Y65" s="1189">
        <v>16.36</v>
      </c>
      <c r="Z65" s="1189">
        <v>2.88</v>
      </c>
      <c r="AA65" s="1189"/>
      <c r="AB65" s="1189"/>
      <c r="AC65" s="1189"/>
      <c r="AD65" s="1189"/>
      <c r="AH65" s="251">
        <v>26</v>
      </c>
      <c r="AI65" s="251">
        <f t="shared" si="2"/>
        <v>1016</v>
      </c>
      <c r="AJ65" s="251" t="str">
        <f t="shared" ca="1" si="7"/>
        <v>IDM</v>
      </c>
      <c r="AL65" s="251">
        <f t="shared" ca="1" si="6"/>
        <v>1861</v>
      </c>
      <c r="AM65" s="251" t="e">
        <f t="shared" ca="1" si="5"/>
        <v>#N/A</v>
      </c>
      <c r="AN65" s="251" t="e">
        <f t="shared" ca="1" si="3"/>
        <v>#N/A</v>
      </c>
      <c r="AO65" s="251" t="e">
        <f t="shared" ca="1" si="4"/>
        <v>#N/A</v>
      </c>
    </row>
    <row r="66" spans="1:41" x14ac:dyDescent="0.2">
      <c r="A66">
        <f t="shared" si="1"/>
        <v>2</v>
      </c>
      <c r="B66">
        <v>57</v>
      </c>
      <c r="C66" s="1190">
        <v>3</v>
      </c>
      <c r="D66" s="1181" t="s">
        <v>5347</v>
      </c>
      <c r="E66" s="1191" t="s">
        <v>5024</v>
      </c>
      <c r="F66" s="1192">
        <v>4</v>
      </c>
      <c r="G66" s="1193"/>
      <c r="H66" s="1193"/>
      <c r="I66" s="1193"/>
      <c r="J66" s="1193"/>
      <c r="K66" s="1193"/>
      <c r="L66" s="1193"/>
      <c r="M66" s="1193"/>
      <c r="N66" s="1193"/>
      <c r="O66" s="1193"/>
      <c r="P66" s="1193"/>
      <c r="Q66" s="1193"/>
      <c r="R66" s="1193"/>
      <c r="S66" s="1193"/>
      <c r="T66" s="1193"/>
      <c r="U66" s="1193"/>
      <c r="V66" s="1193"/>
      <c r="W66" s="1193">
        <v>5.95</v>
      </c>
      <c r="X66" s="1193">
        <v>4.25</v>
      </c>
      <c r="Y66" s="1193">
        <v>5.17</v>
      </c>
      <c r="Z66" s="1193">
        <v>2.87</v>
      </c>
      <c r="AA66" s="1193"/>
      <c r="AB66" s="1193"/>
      <c r="AC66" s="1193"/>
      <c r="AD66" s="1193"/>
      <c r="AH66" s="251">
        <v>27</v>
      </c>
      <c r="AI66" s="251">
        <f t="shared" si="2"/>
        <v>1035</v>
      </c>
      <c r="AJ66" s="251" t="str">
        <f t="shared" ca="1" si="7"/>
        <v>Iseli Energie AG</v>
      </c>
      <c r="AL66" s="251">
        <f t="shared" ca="1" si="6"/>
        <v>1862</v>
      </c>
      <c r="AM66" s="251" t="e">
        <f t="shared" ca="1" si="5"/>
        <v>#N/A</v>
      </c>
      <c r="AN66" s="251" t="e">
        <f t="shared" ca="1" si="3"/>
        <v>#N/A</v>
      </c>
      <c r="AO66" s="251" t="e">
        <f t="shared" ca="1" si="4"/>
        <v>#N/A</v>
      </c>
    </row>
    <row r="67" spans="1:41" x14ac:dyDescent="0.2">
      <c r="A67">
        <f t="shared" si="1"/>
        <v>2</v>
      </c>
      <c r="B67">
        <v>58</v>
      </c>
      <c r="C67" s="1078">
        <v>3</v>
      </c>
      <c r="D67" s="1181" t="s">
        <v>5347</v>
      </c>
      <c r="E67" s="1077" t="s">
        <v>4525</v>
      </c>
      <c r="F67" s="1185">
        <v>4</v>
      </c>
      <c r="G67" s="1186"/>
      <c r="H67" s="1186"/>
      <c r="I67" s="1186"/>
      <c r="J67" s="1186"/>
      <c r="K67" s="1186"/>
      <c r="L67" s="1186"/>
      <c r="M67" s="1186"/>
      <c r="N67" s="1186"/>
      <c r="O67" s="1186"/>
      <c r="P67" s="1186"/>
      <c r="Q67" s="1186"/>
      <c r="R67" s="1186"/>
      <c r="S67" s="1186"/>
      <c r="T67" s="1186"/>
      <c r="U67" s="1186"/>
      <c r="V67" s="1186"/>
      <c r="W67" s="1186">
        <v>8.65</v>
      </c>
      <c r="X67" s="1186">
        <v>3.93</v>
      </c>
      <c r="Y67" s="1186">
        <v>8.18</v>
      </c>
      <c r="Z67" s="1186">
        <v>2.92</v>
      </c>
      <c r="AA67" s="1186"/>
      <c r="AB67" s="1186"/>
      <c r="AC67" s="1186"/>
      <c r="AD67" s="1186"/>
      <c r="AH67" s="251">
        <v>28</v>
      </c>
      <c r="AI67" s="251">
        <f t="shared" si="2"/>
        <v>1039</v>
      </c>
      <c r="AJ67" s="251" t="str">
        <f t="shared" ca="1" si="7"/>
        <v>Kibernetik AG</v>
      </c>
      <c r="AL67" s="251">
        <f t="shared" ca="1" si="6"/>
        <v>1863</v>
      </c>
      <c r="AM67" s="251" t="e">
        <f t="shared" ca="1" si="5"/>
        <v>#N/A</v>
      </c>
      <c r="AN67" s="251" t="e">
        <f t="shared" ca="1" si="3"/>
        <v>#N/A</v>
      </c>
      <c r="AO67" s="251" t="e">
        <f t="shared" ca="1" si="4"/>
        <v>#N/A</v>
      </c>
    </row>
    <row r="68" spans="1:41" x14ac:dyDescent="0.2">
      <c r="A68">
        <f t="shared" si="1"/>
        <v>2</v>
      </c>
      <c r="B68">
        <v>59</v>
      </c>
      <c r="C68" s="1078">
        <v>3</v>
      </c>
      <c r="D68" s="1181" t="s">
        <v>5347</v>
      </c>
      <c r="E68" s="1077" t="s">
        <v>5025</v>
      </c>
      <c r="F68" s="1185">
        <v>4</v>
      </c>
      <c r="G68" s="1186"/>
      <c r="H68" s="1186"/>
      <c r="I68" s="1186"/>
      <c r="J68" s="1186"/>
      <c r="K68" s="1186"/>
      <c r="L68" s="1186"/>
      <c r="M68" s="1186"/>
      <c r="N68" s="1186"/>
      <c r="O68" s="1186"/>
      <c r="P68" s="1186"/>
      <c r="Q68" s="1186"/>
      <c r="R68" s="1186"/>
      <c r="S68" s="1186"/>
      <c r="T68" s="1186"/>
      <c r="U68" s="1186"/>
      <c r="V68" s="1186"/>
      <c r="W68" s="1186">
        <v>13.56</v>
      </c>
      <c r="X68" s="1186">
        <v>4.12</v>
      </c>
      <c r="Y68" s="1186">
        <v>12.53</v>
      </c>
      <c r="Z68" s="1186">
        <v>3</v>
      </c>
      <c r="AA68" s="1186"/>
      <c r="AB68" s="1186"/>
      <c r="AC68" s="1186"/>
      <c r="AD68" s="1186"/>
      <c r="AH68" s="251">
        <v>29</v>
      </c>
      <c r="AI68" s="251">
        <f t="shared" si="2"/>
        <v>1098</v>
      </c>
      <c r="AJ68" s="251" t="str">
        <f t="shared" ca="1" si="7"/>
        <v>KNV Technik</v>
      </c>
      <c r="AL68" s="251">
        <f t="shared" ca="1" si="6"/>
        <v>1864</v>
      </c>
      <c r="AM68" s="251" t="e">
        <f t="shared" ca="1" si="5"/>
        <v>#N/A</v>
      </c>
      <c r="AN68" s="251" t="e">
        <f t="shared" ca="1" si="3"/>
        <v>#N/A</v>
      </c>
      <c r="AO68" s="251" t="e">
        <f t="shared" ca="1" si="4"/>
        <v>#N/A</v>
      </c>
    </row>
    <row r="69" spans="1:41" x14ac:dyDescent="0.2">
      <c r="A69">
        <f t="shared" si="1"/>
        <v>2</v>
      </c>
      <c r="B69">
        <v>60</v>
      </c>
      <c r="C69" s="1078">
        <v>3</v>
      </c>
      <c r="D69" s="1181" t="s">
        <v>5347</v>
      </c>
      <c r="E69" s="1077" t="s">
        <v>5026</v>
      </c>
      <c r="F69" s="1185">
        <v>1</v>
      </c>
      <c r="G69" s="1186"/>
      <c r="H69" s="1186"/>
      <c r="I69" s="1186"/>
      <c r="J69" s="1186"/>
      <c r="K69" s="1186"/>
      <c r="L69" s="1186"/>
      <c r="M69" s="1186"/>
      <c r="N69" s="1186"/>
      <c r="O69" s="1186"/>
      <c r="P69" s="1186"/>
      <c r="Q69" s="1186"/>
      <c r="R69" s="1186"/>
      <c r="S69" s="1186"/>
      <c r="T69" s="1186"/>
      <c r="U69" s="1186"/>
      <c r="V69" s="1186"/>
      <c r="W69" s="1186">
        <v>4.7</v>
      </c>
      <c r="X69" s="1186">
        <v>4.7</v>
      </c>
      <c r="Y69" s="1186">
        <v>4.16</v>
      </c>
      <c r="Z69" s="1186">
        <v>2.58</v>
      </c>
      <c r="AA69" s="1186"/>
      <c r="AB69" s="1186"/>
      <c r="AC69" s="1186"/>
      <c r="AD69" s="1186"/>
      <c r="AH69" s="251">
        <v>30</v>
      </c>
      <c r="AI69" s="251">
        <f t="shared" si="2"/>
        <v>1136</v>
      </c>
      <c r="AJ69" s="251" t="str">
        <f t="shared" ca="1" si="7"/>
        <v>LG-Solexis</v>
      </c>
      <c r="AL69" s="251">
        <f t="shared" ca="1" si="6"/>
        <v>1865</v>
      </c>
      <c r="AM69" s="251" t="e">
        <f t="shared" ca="1" si="5"/>
        <v>#N/A</v>
      </c>
      <c r="AN69" s="251" t="e">
        <f t="shared" ca="1" si="3"/>
        <v>#N/A</v>
      </c>
      <c r="AO69" s="251" t="e">
        <f t="shared" ca="1" si="4"/>
        <v>#N/A</v>
      </c>
    </row>
    <row r="70" spans="1:41" x14ac:dyDescent="0.2">
      <c r="A70">
        <f t="shared" si="1"/>
        <v>2</v>
      </c>
      <c r="B70">
        <v>61</v>
      </c>
      <c r="C70" s="1078">
        <v>3</v>
      </c>
      <c r="D70" s="1181" t="s">
        <v>5347</v>
      </c>
      <c r="E70" s="1077" t="s">
        <v>5027</v>
      </c>
      <c r="F70" s="1185">
        <v>1</v>
      </c>
      <c r="G70" s="1186"/>
      <c r="H70" s="1186"/>
      <c r="I70" s="1186"/>
      <c r="J70" s="1186"/>
      <c r="K70" s="1186"/>
      <c r="L70" s="1186"/>
      <c r="M70" s="1186"/>
      <c r="N70" s="1186"/>
      <c r="O70" s="1186"/>
      <c r="P70" s="1186"/>
      <c r="Q70" s="1186"/>
      <c r="R70" s="1186"/>
      <c r="S70" s="1186"/>
      <c r="T70" s="1186"/>
      <c r="U70" s="1186"/>
      <c r="V70" s="1186"/>
      <c r="W70" s="1186">
        <v>7.7</v>
      </c>
      <c r="X70" s="1186">
        <v>4.9000000000000004</v>
      </c>
      <c r="Y70" s="1186">
        <v>6.49</v>
      </c>
      <c r="Z70" s="1186">
        <v>2.91</v>
      </c>
      <c r="AA70" s="1186"/>
      <c r="AB70" s="1186"/>
      <c r="AC70" s="1186"/>
      <c r="AD70" s="1186"/>
      <c r="AH70" s="251">
        <v>31</v>
      </c>
      <c r="AI70" s="251">
        <f t="shared" si="2"/>
        <v>1150</v>
      </c>
      <c r="AJ70" s="251" t="str">
        <f t="shared" ca="1" si="7"/>
        <v>OVUM</v>
      </c>
      <c r="AL70" s="251">
        <f t="shared" ca="1" si="6"/>
        <v>1866</v>
      </c>
      <c r="AM70" s="251" t="e">
        <f t="shared" ca="1" si="5"/>
        <v>#N/A</v>
      </c>
      <c r="AN70" s="251" t="e">
        <f t="shared" ca="1" si="3"/>
        <v>#N/A</v>
      </c>
      <c r="AO70" s="251" t="e">
        <f t="shared" ca="1" si="4"/>
        <v>#N/A</v>
      </c>
    </row>
    <row r="71" spans="1:41" x14ac:dyDescent="0.2">
      <c r="A71">
        <f t="shared" si="1"/>
        <v>2</v>
      </c>
      <c r="B71">
        <v>62</v>
      </c>
      <c r="C71" s="1078">
        <v>3</v>
      </c>
      <c r="D71" s="1181" t="s">
        <v>5347</v>
      </c>
      <c r="E71" s="1077" t="s">
        <v>5028</v>
      </c>
      <c r="F71" s="1185">
        <v>1</v>
      </c>
      <c r="G71" s="1186"/>
      <c r="H71" s="1186"/>
      <c r="I71" s="1186"/>
      <c r="J71" s="1186"/>
      <c r="K71" s="1186"/>
      <c r="L71" s="1186"/>
      <c r="M71" s="1186"/>
      <c r="N71" s="1186"/>
      <c r="O71" s="1186"/>
      <c r="P71" s="1186"/>
      <c r="Q71" s="1186"/>
      <c r="R71" s="1186"/>
      <c r="S71" s="1186"/>
      <c r="T71" s="1186"/>
      <c r="U71" s="1186"/>
      <c r="V71" s="1186"/>
      <c r="W71" s="1186">
        <v>9.34</v>
      </c>
      <c r="X71" s="1186">
        <v>5.05</v>
      </c>
      <c r="Y71" s="1186">
        <v>8.3000000000000007</v>
      </c>
      <c r="Z71" s="1186">
        <v>2.82</v>
      </c>
      <c r="AA71" s="1186"/>
      <c r="AB71" s="1186"/>
      <c r="AC71" s="1186"/>
      <c r="AD71" s="1186"/>
      <c r="AH71" s="251">
        <v>32</v>
      </c>
      <c r="AI71" s="251">
        <f t="shared" si="2"/>
        <v>1159</v>
      </c>
      <c r="AJ71" s="251" t="str">
        <f t="shared" ca="1" si="7"/>
        <v>Meier Tobler AG</v>
      </c>
      <c r="AL71" s="251">
        <f t="shared" ca="1" si="6"/>
        <v>1867</v>
      </c>
      <c r="AM71" s="251" t="e">
        <f t="shared" ca="1" si="5"/>
        <v>#N/A</v>
      </c>
      <c r="AN71" s="251" t="e">
        <f t="shared" ca="1" si="3"/>
        <v>#N/A</v>
      </c>
      <c r="AO71" s="251" t="e">
        <f t="shared" ca="1" si="4"/>
        <v>#N/A</v>
      </c>
    </row>
    <row r="72" spans="1:41" x14ac:dyDescent="0.2">
      <c r="A72">
        <f t="shared" si="1"/>
        <v>2</v>
      </c>
      <c r="B72">
        <v>63</v>
      </c>
      <c r="C72" s="1078">
        <v>3</v>
      </c>
      <c r="D72" s="1181" t="s">
        <v>5347</v>
      </c>
      <c r="E72" s="1077" t="s">
        <v>5029</v>
      </c>
      <c r="F72" s="1185">
        <v>1</v>
      </c>
      <c r="G72" s="1186"/>
      <c r="H72" s="1186"/>
      <c r="I72" s="1186"/>
      <c r="J72" s="1186"/>
      <c r="K72" s="1186"/>
      <c r="L72" s="1186"/>
      <c r="M72" s="1186"/>
      <c r="N72" s="1186"/>
      <c r="O72" s="1186"/>
      <c r="P72" s="1186"/>
      <c r="Q72" s="1186"/>
      <c r="R72" s="1186"/>
      <c r="S72" s="1186"/>
      <c r="T72" s="1186"/>
      <c r="U72" s="1186"/>
      <c r="V72" s="1186"/>
      <c r="W72" s="1186">
        <v>12.18</v>
      </c>
      <c r="X72" s="1186">
        <v>5</v>
      </c>
      <c r="Y72" s="1186">
        <v>10.63</v>
      </c>
      <c r="Z72" s="1186">
        <v>2.97</v>
      </c>
      <c r="AA72" s="1186"/>
      <c r="AB72" s="1186"/>
      <c r="AC72" s="1186"/>
      <c r="AD72" s="1186"/>
      <c r="AH72" s="251">
        <v>33</v>
      </c>
      <c r="AI72" s="251">
        <f t="shared" ref="AI72:AI103" si="8">MATCH(AH72,$A$10:$A$2000,0)</f>
        <v>1294</v>
      </c>
      <c r="AJ72" s="251" t="str">
        <f t="shared" ca="1" si="7"/>
        <v>NIBE Wärmetechnik</v>
      </c>
      <c r="AL72" s="251">
        <f t="shared" ca="1" si="6"/>
        <v>1868</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x14ac:dyDescent="0.2">
      <c r="A73">
        <f t="shared" si="1"/>
        <v>2</v>
      </c>
      <c r="B73">
        <v>64</v>
      </c>
      <c r="C73" s="1078">
        <v>3</v>
      </c>
      <c r="D73" s="1181" t="s">
        <v>5347</v>
      </c>
      <c r="E73" s="1077" t="s">
        <v>5030</v>
      </c>
      <c r="F73" s="1185">
        <v>1</v>
      </c>
      <c r="G73" s="1186"/>
      <c r="H73" s="1186"/>
      <c r="I73" s="1186"/>
      <c r="J73" s="1186"/>
      <c r="K73" s="1186"/>
      <c r="L73" s="1186"/>
      <c r="M73" s="1186"/>
      <c r="N73" s="1186"/>
      <c r="O73" s="1186"/>
      <c r="P73" s="1186"/>
      <c r="Q73" s="1186"/>
      <c r="R73" s="1186"/>
      <c r="S73" s="1186"/>
      <c r="T73" s="1186"/>
      <c r="U73" s="1186"/>
      <c r="V73" s="1186"/>
      <c r="W73" s="1186">
        <v>13.5</v>
      </c>
      <c r="X73" s="1186">
        <v>5.08</v>
      </c>
      <c r="Y73" s="1186">
        <v>11.76</v>
      </c>
      <c r="Z73" s="1186">
        <v>2.94</v>
      </c>
      <c r="AA73" s="1186"/>
      <c r="AB73" s="1186"/>
      <c r="AC73" s="1186"/>
      <c r="AD73" s="1186"/>
      <c r="AH73" s="251">
        <v>34</v>
      </c>
      <c r="AI73" s="251">
        <f t="shared" si="8"/>
        <v>1343</v>
      </c>
      <c r="AJ73" s="251" t="str">
        <f t="shared" ca="1" si="7"/>
        <v>Ochsner Wärmepumpen</v>
      </c>
      <c r="AL73" s="251">
        <f t="shared" ca="1" si="6"/>
        <v>1869</v>
      </c>
      <c r="AM73" s="251" t="e">
        <f t="shared" ca="1" si="5"/>
        <v>#N/A</v>
      </c>
      <c r="AN73" s="251" t="e">
        <f t="shared" ca="1" si="9"/>
        <v>#N/A</v>
      </c>
      <c r="AO73" s="251" t="e">
        <f t="shared" ca="1" si="10"/>
        <v>#N/A</v>
      </c>
    </row>
    <row r="74" spans="1:41" x14ac:dyDescent="0.2">
      <c r="A74">
        <f t="shared" si="1"/>
        <v>2</v>
      </c>
      <c r="B74">
        <v>65</v>
      </c>
      <c r="C74" s="1078">
        <v>3</v>
      </c>
      <c r="D74" s="1181" t="s">
        <v>5347</v>
      </c>
      <c r="E74" s="1077" t="s">
        <v>5031</v>
      </c>
      <c r="F74" s="1185">
        <v>1</v>
      </c>
      <c r="G74" s="1186"/>
      <c r="H74" s="1186"/>
      <c r="I74" s="1186"/>
      <c r="J74" s="1186"/>
      <c r="K74" s="1186"/>
      <c r="L74" s="1186"/>
      <c r="M74" s="1186"/>
      <c r="N74" s="1186"/>
      <c r="O74" s="1186"/>
      <c r="P74" s="1186"/>
      <c r="Q74" s="1186"/>
      <c r="R74" s="1186"/>
      <c r="S74" s="1186"/>
      <c r="T74" s="1186"/>
      <c r="U74" s="1186"/>
      <c r="V74" s="1186"/>
      <c r="W74" s="1186">
        <v>16.86</v>
      </c>
      <c r="X74" s="1186">
        <v>4.93</v>
      </c>
      <c r="Y74" s="1186">
        <v>15.59</v>
      </c>
      <c r="Z74" s="1186">
        <v>2.88</v>
      </c>
      <c r="AA74" s="1186"/>
      <c r="AB74" s="1186"/>
      <c r="AC74" s="1186"/>
      <c r="AD74" s="1186"/>
      <c r="AH74" s="251">
        <v>35</v>
      </c>
      <c r="AI74" s="251">
        <f t="shared" si="8"/>
        <v>1370</v>
      </c>
      <c r="AJ74" s="251" t="str">
        <f t="shared" ca="1" si="7"/>
        <v>Panasonic</v>
      </c>
      <c r="AL74" s="251">
        <f t="shared" ca="1" si="6"/>
        <v>1870</v>
      </c>
      <c r="AM74" s="251" t="e">
        <f t="shared" ca="1" si="5"/>
        <v>#N/A</v>
      </c>
      <c r="AN74" s="251" t="e">
        <f t="shared" ca="1" si="9"/>
        <v>#N/A</v>
      </c>
      <c r="AO74" s="251" t="e">
        <f t="shared" ca="1" si="10"/>
        <v>#N/A</v>
      </c>
    </row>
    <row r="75" spans="1:41" x14ac:dyDescent="0.2">
      <c r="A75">
        <f t="shared" si="1"/>
        <v>2</v>
      </c>
      <c r="B75">
        <v>66</v>
      </c>
      <c r="C75" s="1078">
        <v>3</v>
      </c>
      <c r="D75" s="1181" t="s">
        <v>5347</v>
      </c>
      <c r="E75" s="1077" t="s">
        <v>5032</v>
      </c>
      <c r="F75" s="1185">
        <v>1</v>
      </c>
      <c r="G75" s="1186"/>
      <c r="H75" s="1186"/>
      <c r="I75" s="1186"/>
      <c r="J75" s="1186"/>
      <c r="K75" s="1186"/>
      <c r="L75" s="1186"/>
      <c r="M75" s="1186"/>
      <c r="N75" s="1186"/>
      <c r="O75" s="1186"/>
      <c r="P75" s="1186"/>
      <c r="Q75" s="1186"/>
      <c r="R75" s="1186"/>
      <c r="S75" s="1186"/>
      <c r="T75" s="1186"/>
      <c r="U75" s="1186"/>
      <c r="V75" s="1186"/>
      <c r="W75" s="1186">
        <v>18.600000000000001</v>
      </c>
      <c r="X75" s="1186">
        <v>4.87</v>
      </c>
      <c r="Y75" s="1186">
        <v>16.36</v>
      </c>
      <c r="Z75" s="1186">
        <v>2.88</v>
      </c>
      <c r="AA75" s="1186"/>
      <c r="AB75" s="1186"/>
      <c r="AC75" s="1186"/>
      <c r="AD75" s="1186"/>
      <c r="AH75" s="251">
        <v>36</v>
      </c>
      <c r="AI75" s="251">
        <f t="shared" si="8"/>
        <v>1382</v>
      </c>
      <c r="AJ75" s="251" t="str">
        <f t="shared" ca="1" si="7"/>
        <v>Philippe Marechal /ES Energy Save</v>
      </c>
      <c r="AL75" s="251">
        <f t="shared" ca="1" si="6"/>
        <v>1871</v>
      </c>
      <c r="AM75" s="251" t="e">
        <f t="shared" ca="1" si="5"/>
        <v>#N/A</v>
      </c>
      <c r="AN75" s="251" t="e">
        <f t="shared" ca="1" si="9"/>
        <v>#N/A</v>
      </c>
      <c r="AO75" s="251" t="e">
        <f t="shared" ca="1" si="10"/>
        <v>#N/A</v>
      </c>
    </row>
    <row r="76" spans="1:41" x14ac:dyDescent="0.2">
      <c r="A76">
        <f t="shared" ref="A76:A139" si="11">A75+(D76&lt;&gt;D75)*1</f>
        <v>2</v>
      </c>
      <c r="B76">
        <v>67</v>
      </c>
      <c r="C76" s="1078">
        <v>3</v>
      </c>
      <c r="D76" s="1181" t="s">
        <v>5347</v>
      </c>
      <c r="E76" s="1077" t="s">
        <v>5033</v>
      </c>
      <c r="F76" s="1185">
        <v>1</v>
      </c>
      <c r="G76" s="1186"/>
      <c r="H76" s="1186"/>
      <c r="I76" s="1186"/>
      <c r="J76" s="1186"/>
      <c r="K76" s="1186"/>
      <c r="L76" s="1186"/>
      <c r="M76" s="1186"/>
      <c r="N76" s="1186"/>
      <c r="O76" s="1186"/>
      <c r="P76" s="1186"/>
      <c r="Q76" s="1186"/>
      <c r="R76" s="1186"/>
      <c r="S76" s="1186"/>
      <c r="T76" s="1186"/>
      <c r="U76" s="1186"/>
      <c r="V76" s="1186"/>
      <c r="W76" s="1186">
        <v>22.35</v>
      </c>
      <c r="X76" s="1186">
        <v>4.95</v>
      </c>
      <c r="Y76" s="1186">
        <v>20.16</v>
      </c>
      <c r="Z76" s="1186">
        <v>3.08</v>
      </c>
      <c r="AA76" s="1186"/>
      <c r="AB76" s="1186"/>
      <c r="AC76" s="1186"/>
      <c r="AD76" s="1186"/>
      <c r="AH76" s="251">
        <v>37</v>
      </c>
      <c r="AI76" s="251">
        <f t="shared" si="8"/>
        <v>1386</v>
      </c>
      <c r="AJ76" s="251" t="str">
        <f t="shared" ca="1" si="7"/>
        <v>Regli Energy Systems</v>
      </c>
      <c r="AL76" s="251">
        <f t="shared" ca="1" si="6"/>
        <v>1872</v>
      </c>
      <c r="AM76" s="251" t="e">
        <f t="shared" ca="1" si="5"/>
        <v>#N/A</v>
      </c>
      <c r="AN76" s="251" t="e">
        <f t="shared" ca="1" si="9"/>
        <v>#N/A</v>
      </c>
      <c r="AO76" s="251" t="e">
        <f t="shared" ca="1" si="10"/>
        <v>#N/A</v>
      </c>
    </row>
    <row r="77" spans="1:41" x14ac:dyDescent="0.2">
      <c r="A77">
        <f t="shared" si="11"/>
        <v>2</v>
      </c>
      <c r="B77">
        <v>68</v>
      </c>
      <c r="C77" s="1078">
        <v>3</v>
      </c>
      <c r="D77" s="1181" t="s">
        <v>5347</v>
      </c>
      <c r="E77" s="1077" t="s">
        <v>5034</v>
      </c>
      <c r="F77" s="1185">
        <v>1</v>
      </c>
      <c r="G77" s="1186"/>
      <c r="H77" s="1186"/>
      <c r="I77" s="1186"/>
      <c r="J77" s="1186"/>
      <c r="K77" s="1186"/>
      <c r="L77" s="1186"/>
      <c r="M77" s="1186"/>
      <c r="N77" s="1186"/>
      <c r="O77" s="1186"/>
      <c r="P77" s="1186"/>
      <c r="Q77" s="1186"/>
      <c r="R77" s="1186"/>
      <c r="S77" s="1186"/>
      <c r="T77" s="1186"/>
      <c r="U77" s="1186"/>
      <c r="V77" s="1186"/>
      <c r="W77" s="1186">
        <v>25.6</v>
      </c>
      <c r="X77" s="1186">
        <v>4.92</v>
      </c>
      <c r="Y77" s="1186">
        <v>23.65</v>
      </c>
      <c r="Z77" s="1186">
        <v>2.95</v>
      </c>
      <c r="AA77" s="1186"/>
      <c r="AB77" s="1186"/>
      <c r="AC77" s="1186"/>
      <c r="AD77" s="1186"/>
      <c r="AH77" s="251">
        <v>38</v>
      </c>
      <c r="AI77" s="251">
        <f t="shared" si="8"/>
        <v>1392</v>
      </c>
      <c r="AJ77" s="251" t="str">
        <f t="shared" ca="1" si="7"/>
        <v>Robert Bosch AG</v>
      </c>
      <c r="AL77" s="251">
        <f t="shared" ca="1" si="6"/>
        <v>1873</v>
      </c>
      <c r="AM77" s="251" t="e">
        <f t="shared" ca="1" si="5"/>
        <v>#N/A</v>
      </c>
      <c r="AN77" s="251" t="e">
        <f t="shared" ca="1" si="9"/>
        <v>#N/A</v>
      </c>
      <c r="AO77" s="251" t="e">
        <f t="shared" ca="1" si="10"/>
        <v>#N/A</v>
      </c>
    </row>
    <row r="78" spans="1:41" x14ac:dyDescent="0.2">
      <c r="A78">
        <f t="shared" si="11"/>
        <v>2</v>
      </c>
      <c r="B78">
        <v>69</v>
      </c>
      <c r="C78" s="1078">
        <v>3</v>
      </c>
      <c r="D78" s="1181" t="s">
        <v>5347</v>
      </c>
      <c r="E78" s="1077" t="s">
        <v>5035</v>
      </c>
      <c r="F78" s="1185">
        <v>1</v>
      </c>
      <c r="G78" s="1186"/>
      <c r="H78" s="1186"/>
      <c r="I78" s="1186"/>
      <c r="J78" s="1186"/>
      <c r="K78" s="1186"/>
      <c r="L78" s="1186"/>
      <c r="M78" s="1186"/>
      <c r="N78" s="1186"/>
      <c r="O78" s="1186"/>
      <c r="P78" s="1186"/>
      <c r="Q78" s="1186"/>
      <c r="R78" s="1186"/>
      <c r="S78" s="1186"/>
      <c r="T78" s="1186"/>
      <c r="U78" s="1186"/>
      <c r="V78" s="1186"/>
      <c r="W78" s="1186">
        <v>29.6</v>
      </c>
      <c r="X78" s="1186">
        <v>4.88</v>
      </c>
      <c r="Y78" s="1186">
        <v>26.55</v>
      </c>
      <c r="Z78" s="1186">
        <v>3.01</v>
      </c>
      <c r="AA78" s="1186"/>
      <c r="AB78" s="1186"/>
      <c r="AC78" s="1186"/>
      <c r="AD78" s="1186"/>
      <c r="AH78" s="251">
        <v>39</v>
      </c>
      <c r="AI78" s="251">
        <f t="shared" si="8"/>
        <v>1420</v>
      </c>
      <c r="AJ78" s="251" t="str">
        <f t="shared" ca="1" si="7"/>
        <v>Samsung</v>
      </c>
      <c r="AL78" s="251">
        <f t="shared" ca="1" si="6"/>
        <v>1874</v>
      </c>
      <c r="AM78" s="251" t="e">
        <f t="shared" ca="1" si="5"/>
        <v>#N/A</v>
      </c>
      <c r="AN78" s="251" t="e">
        <f t="shared" ca="1" si="9"/>
        <v>#N/A</v>
      </c>
      <c r="AO78" s="251" t="e">
        <f t="shared" ca="1" si="10"/>
        <v>#N/A</v>
      </c>
    </row>
    <row r="79" spans="1:41" x14ac:dyDescent="0.2">
      <c r="A79">
        <f t="shared" si="11"/>
        <v>2</v>
      </c>
      <c r="B79">
        <v>70</v>
      </c>
      <c r="C79" s="1078">
        <v>3</v>
      </c>
      <c r="D79" s="1181" t="s">
        <v>5347</v>
      </c>
      <c r="E79" s="1077" t="s">
        <v>5036</v>
      </c>
      <c r="F79" s="1185">
        <v>1</v>
      </c>
      <c r="G79" s="1186"/>
      <c r="H79" s="1186"/>
      <c r="I79" s="1186"/>
      <c r="J79" s="1186"/>
      <c r="K79" s="1186"/>
      <c r="L79" s="1186"/>
      <c r="M79" s="1186"/>
      <c r="N79" s="1186"/>
      <c r="O79" s="1186"/>
      <c r="P79" s="1186"/>
      <c r="Q79" s="1186"/>
      <c r="R79" s="1186"/>
      <c r="S79" s="1186"/>
      <c r="T79" s="1186"/>
      <c r="U79" s="1186"/>
      <c r="V79" s="1186"/>
      <c r="W79" s="1186">
        <v>25.9</v>
      </c>
      <c r="X79" s="1186">
        <v>4.37</v>
      </c>
      <c r="Y79" s="1186">
        <v>24.9</v>
      </c>
      <c r="Z79" s="1186">
        <v>2.8</v>
      </c>
      <c r="AA79" s="1186"/>
      <c r="AB79" s="1186"/>
      <c r="AC79" s="1186"/>
      <c r="AD79" s="1186"/>
      <c r="AH79" s="251">
        <v>40</v>
      </c>
      <c r="AI79" s="251">
        <f t="shared" si="8"/>
        <v>1472</v>
      </c>
      <c r="AJ79" s="251" t="str">
        <f t="shared" ca="1" si="7"/>
        <v>STIEBEL ELTRON</v>
      </c>
      <c r="AL79" s="251">
        <f t="shared" ca="1" si="6"/>
        <v>1875</v>
      </c>
      <c r="AM79" s="251" t="e">
        <f t="shared" ca="1" si="5"/>
        <v>#N/A</v>
      </c>
      <c r="AN79" s="251" t="e">
        <f t="shared" ca="1" si="9"/>
        <v>#N/A</v>
      </c>
      <c r="AO79" s="251" t="e">
        <f t="shared" ca="1" si="10"/>
        <v>#N/A</v>
      </c>
    </row>
    <row r="80" spans="1:41" x14ac:dyDescent="0.2">
      <c r="A80">
        <f t="shared" si="11"/>
        <v>2</v>
      </c>
      <c r="B80">
        <v>71</v>
      </c>
      <c r="C80" s="1078">
        <v>3</v>
      </c>
      <c r="D80" s="1181" t="s">
        <v>5347</v>
      </c>
      <c r="E80" s="1077" t="s">
        <v>5037</v>
      </c>
      <c r="F80" s="1185">
        <v>1</v>
      </c>
      <c r="G80" s="1186"/>
      <c r="H80" s="1186"/>
      <c r="I80" s="1186"/>
      <c r="J80" s="1186"/>
      <c r="K80" s="1186"/>
      <c r="L80" s="1186"/>
      <c r="M80" s="1186"/>
      <c r="N80" s="1186"/>
      <c r="O80" s="1186"/>
      <c r="P80" s="1186"/>
      <c r="Q80" s="1186"/>
      <c r="R80" s="1186"/>
      <c r="S80" s="1186"/>
      <c r="T80" s="1186"/>
      <c r="U80" s="1186"/>
      <c r="V80" s="1186"/>
      <c r="W80" s="1186">
        <v>37.200000000000003</v>
      </c>
      <c r="X80" s="1186">
        <v>4.8</v>
      </c>
      <c r="Y80" s="1186">
        <v>35</v>
      </c>
      <c r="Z80" s="1186">
        <v>2.9</v>
      </c>
      <c r="AA80" s="1186"/>
      <c r="AB80" s="1186"/>
      <c r="AC80" s="1186"/>
      <c r="AD80" s="1186"/>
      <c r="AH80" s="251">
        <v>41</v>
      </c>
      <c r="AI80" s="251">
        <f t="shared" si="8"/>
        <v>1525</v>
      </c>
      <c r="AJ80" s="251" t="str">
        <f t="shared" ca="1" si="7"/>
        <v>Thermic Energy</v>
      </c>
      <c r="AL80" s="251">
        <f t="shared" ca="1" si="6"/>
        <v>1876</v>
      </c>
      <c r="AM80" s="251" t="e">
        <f t="shared" ca="1" si="5"/>
        <v>#N/A</v>
      </c>
      <c r="AN80" s="251" t="e">
        <f t="shared" ca="1" si="9"/>
        <v>#N/A</v>
      </c>
      <c r="AO80" s="251" t="e">
        <f t="shared" ca="1" si="10"/>
        <v>#N/A</v>
      </c>
    </row>
    <row r="81" spans="1:41" x14ac:dyDescent="0.2">
      <c r="A81">
        <f t="shared" si="11"/>
        <v>2</v>
      </c>
      <c r="B81">
        <v>72</v>
      </c>
      <c r="C81" s="1078">
        <v>3</v>
      </c>
      <c r="D81" s="1181" t="s">
        <v>5347</v>
      </c>
      <c r="E81" s="1077" t="s">
        <v>5038</v>
      </c>
      <c r="F81" s="1185">
        <v>1</v>
      </c>
      <c r="G81" s="1186"/>
      <c r="H81" s="1186"/>
      <c r="I81" s="1186"/>
      <c r="J81" s="1186"/>
      <c r="K81" s="1186"/>
      <c r="L81" s="1186"/>
      <c r="M81" s="1186"/>
      <c r="N81" s="1186"/>
      <c r="O81" s="1186"/>
      <c r="P81" s="1186"/>
      <c r="Q81" s="1186"/>
      <c r="R81" s="1186"/>
      <c r="S81" s="1186"/>
      <c r="T81" s="1186"/>
      <c r="U81" s="1186"/>
      <c r="V81" s="1186"/>
      <c r="W81" s="1186">
        <v>45</v>
      </c>
      <c r="X81" s="1186">
        <v>4.8</v>
      </c>
      <c r="Y81" s="1186">
        <v>41.1</v>
      </c>
      <c r="Z81" s="1186">
        <v>2.9</v>
      </c>
      <c r="AA81" s="1186"/>
      <c r="AB81" s="1186"/>
      <c r="AC81" s="1186"/>
      <c r="AD81" s="1186"/>
      <c r="AH81" s="251">
        <v>42</v>
      </c>
      <c r="AI81" s="251">
        <f t="shared" si="8"/>
        <v>1527</v>
      </c>
      <c r="AJ81" s="251" t="str">
        <f t="shared" ca="1" si="7"/>
        <v>TP Energietechnik GmbH</v>
      </c>
      <c r="AL81" s="251">
        <f t="shared" ca="1" si="6"/>
        <v>1877</v>
      </c>
      <c r="AM81" s="251" t="e">
        <f t="shared" ca="1" si="5"/>
        <v>#N/A</v>
      </c>
      <c r="AN81" s="251" t="e">
        <f t="shared" ca="1" si="9"/>
        <v>#N/A</v>
      </c>
      <c r="AO81" s="251" t="e">
        <f t="shared" ca="1" si="10"/>
        <v>#N/A</v>
      </c>
    </row>
    <row r="82" spans="1:41" x14ac:dyDescent="0.2">
      <c r="A82">
        <f t="shared" si="11"/>
        <v>2</v>
      </c>
      <c r="B82">
        <v>73</v>
      </c>
      <c r="C82" s="1078">
        <v>3</v>
      </c>
      <c r="D82" s="1181" t="s">
        <v>5347</v>
      </c>
      <c r="E82" s="1077" t="s">
        <v>5039</v>
      </c>
      <c r="F82" s="1185">
        <v>1</v>
      </c>
      <c r="G82" s="1186"/>
      <c r="H82" s="1186"/>
      <c r="I82" s="1186"/>
      <c r="J82" s="1186"/>
      <c r="K82" s="1186"/>
      <c r="L82" s="1186"/>
      <c r="M82" s="1186"/>
      <c r="N82" s="1186"/>
      <c r="O82" s="1186"/>
      <c r="P82" s="1186"/>
      <c r="Q82" s="1186"/>
      <c r="R82" s="1186"/>
      <c r="S82" s="1186"/>
      <c r="T82" s="1186"/>
      <c r="U82" s="1186"/>
      <c r="V82" s="1186"/>
      <c r="W82" s="1186">
        <v>53.8</v>
      </c>
      <c r="X82" s="1186">
        <v>4.5</v>
      </c>
      <c r="Y82" s="1186">
        <v>52.5</v>
      </c>
      <c r="Z82" s="1186">
        <v>3.1</v>
      </c>
      <c r="AA82" s="1186"/>
      <c r="AB82" s="1186"/>
      <c r="AC82" s="1186"/>
      <c r="AD82" s="1186"/>
      <c r="AH82" s="251">
        <v>43</v>
      </c>
      <c r="AI82" s="251">
        <f t="shared" si="8"/>
        <v>1540</v>
      </c>
      <c r="AJ82" s="251" t="str">
        <f t="shared" ca="1" si="7"/>
        <v>Vaillant</v>
      </c>
      <c r="AL82" s="251">
        <f t="shared" ca="1" si="6"/>
        <v>1878</v>
      </c>
      <c r="AM82" s="251" t="e">
        <f t="shared" ref="AM82:AM145" ca="1" si="12">IF(AL82&lt;$AH$13,AL82,"")</f>
        <v>#N/A</v>
      </c>
      <c r="AN82" s="251" t="e">
        <f t="shared" ca="1" si="9"/>
        <v>#N/A</v>
      </c>
      <c r="AO82" s="251" t="e">
        <f t="shared" ca="1" si="10"/>
        <v>#N/A</v>
      </c>
    </row>
    <row r="83" spans="1:41" x14ac:dyDescent="0.2">
      <c r="A83">
        <f t="shared" si="11"/>
        <v>2</v>
      </c>
      <c r="B83">
        <v>74</v>
      </c>
      <c r="C83" s="1078">
        <v>3</v>
      </c>
      <c r="D83" s="1181" t="s">
        <v>5347</v>
      </c>
      <c r="E83" s="1077" t="s">
        <v>5040</v>
      </c>
      <c r="F83" s="1185">
        <v>1</v>
      </c>
      <c r="G83" s="1186"/>
      <c r="H83" s="1186"/>
      <c r="I83" s="1186"/>
      <c r="J83" s="1186"/>
      <c r="K83" s="1186"/>
      <c r="L83" s="1186"/>
      <c r="M83" s="1186"/>
      <c r="N83" s="1186"/>
      <c r="O83" s="1186"/>
      <c r="P83" s="1186"/>
      <c r="Q83" s="1186"/>
      <c r="R83" s="1186"/>
      <c r="S83" s="1186"/>
      <c r="T83" s="1186"/>
      <c r="U83" s="1186"/>
      <c r="V83" s="1186"/>
      <c r="W83" s="1186">
        <v>57.6</v>
      </c>
      <c r="X83" s="1186">
        <v>4.8</v>
      </c>
      <c r="Y83" s="1186">
        <v>54</v>
      </c>
      <c r="Z83" s="1186">
        <v>3</v>
      </c>
      <c r="AA83" s="1186"/>
      <c r="AB83" s="1186"/>
      <c r="AC83" s="1186"/>
      <c r="AD83" s="1186"/>
      <c r="AH83" s="251">
        <v>44</v>
      </c>
      <c r="AI83" s="251">
        <f t="shared" si="8"/>
        <v>1576</v>
      </c>
      <c r="AJ83" s="251" t="str">
        <f t="shared" ca="1" si="7"/>
        <v>Vaillant-SAPAC</v>
      </c>
      <c r="AL83" s="251">
        <f t="shared" ca="1" si="6"/>
        <v>1879</v>
      </c>
      <c r="AM83" s="251" t="e">
        <f t="shared" ca="1" si="12"/>
        <v>#N/A</v>
      </c>
      <c r="AN83" s="251" t="e">
        <f t="shared" ca="1" si="9"/>
        <v>#N/A</v>
      </c>
      <c r="AO83" s="251" t="e">
        <f t="shared" ca="1" si="10"/>
        <v>#N/A</v>
      </c>
    </row>
    <row r="84" spans="1:41" x14ac:dyDescent="0.2">
      <c r="A84">
        <f t="shared" si="11"/>
        <v>2</v>
      </c>
      <c r="B84">
        <v>75</v>
      </c>
      <c r="C84" s="1078">
        <v>3</v>
      </c>
      <c r="D84" s="1181" t="s">
        <v>5347</v>
      </c>
      <c r="E84" s="1077" t="s">
        <v>5041</v>
      </c>
      <c r="F84" s="1185">
        <v>1</v>
      </c>
      <c r="G84" s="1186"/>
      <c r="H84" s="1186"/>
      <c r="I84" s="1186"/>
      <c r="J84" s="1186"/>
      <c r="K84" s="1186"/>
      <c r="L84" s="1186"/>
      <c r="M84" s="1186"/>
      <c r="N84" s="1186"/>
      <c r="O84" s="1186"/>
      <c r="P84" s="1186"/>
      <c r="Q84" s="1186"/>
      <c r="R84" s="1186"/>
      <c r="S84" s="1186"/>
      <c r="T84" s="1186"/>
      <c r="U84" s="1186"/>
      <c r="V84" s="1186"/>
      <c r="W84" s="1186">
        <v>68.5</v>
      </c>
      <c r="X84" s="1186">
        <v>4.5999999999999996</v>
      </c>
      <c r="Y84" s="1186">
        <v>64.900000000000006</v>
      </c>
      <c r="Z84" s="1186">
        <v>2.9</v>
      </c>
      <c r="AA84" s="1186"/>
      <c r="AB84" s="1186"/>
      <c r="AC84" s="1186"/>
      <c r="AD84" s="1186"/>
      <c r="AH84" s="251">
        <v>45</v>
      </c>
      <c r="AI84" s="251">
        <f t="shared" si="8"/>
        <v>1580</v>
      </c>
      <c r="AJ84" s="251" t="str">
        <f t="shared" ca="1" si="7"/>
        <v>Viessmann</v>
      </c>
      <c r="AL84" s="251">
        <f t="shared" ca="1" si="6"/>
        <v>1880</v>
      </c>
      <c r="AM84" s="251" t="e">
        <f t="shared" ca="1" si="12"/>
        <v>#N/A</v>
      </c>
      <c r="AN84" s="251" t="e">
        <f t="shared" ca="1" si="9"/>
        <v>#N/A</v>
      </c>
      <c r="AO84" s="251" t="e">
        <f t="shared" ca="1" si="10"/>
        <v>#N/A</v>
      </c>
    </row>
    <row r="85" spans="1:41" x14ac:dyDescent="0.2">
      <c r="A85">
        <f t="shared" si="11"/>
        <v>2</v>
      </c>
      <c r="B85">
        <v>76</v>
      </c>
      <c r="C85" s="1078">
        <v>3</v>
      </c>
      <c r="D85" s="1181" t="s">
        <v>5347</v>
      </c>
      <c r="E85" s="1077" t="s">
        <v>5042</v>
      </c>
      <c r="F85" s="1185">
        <v>2</v>
      </c>
      <c r="G85" s="1186"/>
      <c r="H85" s="1186"/>
      <c r="I85" s="1186"/>
      <c r="J85" s="1186"/>
      <c r="K85" s="1186"/>
      <c r="L85" s="1186"/>
      <c r="M85" s="1186"/>
      <c r="N85" s="1186"/>
      <c r="O85" s="1186"/>
      <c r="P85" s="1186"/>
      <c r="Q85" s="1186"/>
      <c r="R85" s="1186"/>
      <c r="S85" s="1186"/>
      <c r="T85" s="1186"/>
      <c r="U85" s="1186"/>
      <c r="V85" s="1186"/>
      <c r="W85" s="1186">
        <v>88</v>
      </c>
      <c r="X85" s="1186">
        <v>4.0999999999999996</v>
      </c>
      <c r="Y85" s="1186">
        <v>86</v>
      </c>
      <c r="Z85" s="1186">
        <v>2.6</v>
      </c>
      <c r="AA85" s="1186"/>
      <c r="AB85" s="1186"/>
      <c r="AC85" s="1186"/>
      <c r="AD85" s="1186"/>
      <c r="AH85" s="251">
        <v>46</v>
      </c>
      <c r="AI85" s="251">
        <f t="shared" si="8"/>
        <v>1665</v>
      </c>
      <c r="AJ85" s="251" t="str">
        <f t="shared" ca="1" si="7"/>
        <v>Walter Bösch GmbH</v>
      </c>
      <c r="AL85" s="251">
        <f t="shared" ca="1" si="6"/>
        <v>1881</v>
      </c>
      <c r="AM85" s="251" t="e">
        <f t="shared" ca="1" si="12"/>
        <v>#N/A</v>
      </c>
      <c r="AN85" s="251" t="e">
        <f t="shared" ca="1" si="9"/>
        <v>#N/A</v>
      </c>
      <c r="AO85" s="251" t="e">
        <f t="shared" ca="1" si="10"/>
        <v>#N/A</v>
      </c>
    </row>
    <row r="86" spans="1:41" x14ac:dyDescent="0.2">
      <c r="A86">
        <f t="shared" si="11"/>
        <v>2</v>
      </c>
      <c r="B86">
        <v>77</v>
      </c>
      <c r="C86" s="1078">
        <v>3</v>
      </c>
      <c r="D86" s="1181" t="s">
        <v>5347</v>
      </c>
      <c r="E86" s="1077" t="s">
        <v>5043</v>
      </c>
      <c r="F86" s="1185">
        <v>2</v>
      </c>
      <c r="G86" s="1186"/>
      <c r="H86" s="1186"/>
      <c r="I86" s="1186"/>
      <c r="J86" s="1186"/>
      <c r="K86" s="1186"/>
      <c r="L86" s="1186"/>
      <c r="M86" s="1186"/>
      <c r="N86" s="1186"/>
      <c r="O86" s="1186"/>
      <c r="P86" s="1186"/>
      <c r="Q86" s="1186"/>
      <c r="R86" s="1186"/>
      <c r="S86" s="1186"/>
      <c r="T86" s="1186"/>
      <c r="U86" s="1186"/>
      <c r="V86" s="1186"/>
      <c r="W86" s="1186">
        <v>28.3</v>
      </c>
      <c r="X86" s="1186">
        <v>4.07</v>
      </c>
      <c r="Y86" s="1186">
        <v>27.4</v>
      </c>
      <c r="Z86" s="1186">
        <v>2.9</v>
      </c>
      <c r="AA86" s="1186"/>
      <c r="AB86" s="1186"/>
      <c r="AC86" s="1186"/>
      <c r="AD86" s="1186"/>
      <c r="AH86" s="251">
        <v>47</v>
      </c>
      <c r="AI86" s="251">
        <f t="shared" si="8"/>
        <v>1747</v>
      </c>
      <c r="AJ86" s="251" t="str">
        <f t="shared" ca="1" si="7"/>
        <v>Waterkotte</v>
      </c>
      <c r="AL86" s="251">
        <f t="shared" ca="1" si="6"/>
        <v>1882</v>
      </c>
      <c r="AM86" s="251" t="e">
        <f t="shared" ca="1" si="12"/>
        <v>#N/A</v>
      </c>
      <c r="AN86" s="251" t="e">
        <f t="shared" ca="1" si="9"/>
        <v>#N/A</v>
      </c>
      <c r="AO86" s="251" t="e">
        <f t="shared" ca="1" si="10"/>
        <v>#N/A</v>
      </c>
    </row>
    <row r="87" spans="1:41" x14ac:dyDescent="0.2">
      <c r="A87">
        <f t="shared" si="11"/>
        <v>2</v>
      </c>
      <c r="B87">
        <v>78</v>
      </c>
      <c r="C87" s="1078">
        <v>3</v>
      </c>
      <c r="D87" s="1181" t="s">
        <v>5347</v>
      </c>
      <c r="E87" s="1077" t="s">
        <v>5044</v>
      </c>
      <c r="F87" s="1185">
        <v>2</v>
      </c>
      <c r="G87" s="1186"/>
      <c r="H87" s="1186"/>
      <c r="I87" s="1186"/>
      <c r="J87" s="1186"/>
      <c r="K87" s="1186"/>
      <c r="L87" s="1186"/>
      <c r="M87" s="1186"/>
      <c r="N87" s="1186"/>
      <c r="O87" s="1186"/>
      <c r="P87" s="1186"/>
      <c r="Q87" s="1186"/>
      <c r="R87" s="1186"/>
      <c r="S87" s="1186"/>
      <c r="T87" s="1186"/>
      <c r="U87" s="1186"/>
      <c r="V87" s="1186"/>
      <c r="W87" s="1186">
        <v>23</v>
      </c>
      <c r="X87" s="1186">
        <v>4.6500000000000004</v>
      </c>
      <c r="Y87" s="1186">
        <v>22</v>
      </c>
      <c r="Z87" s="1186">
        <v>3.1</v>
      </c>
      <c r="AA87" s="1186"/>
      <c r="AB87" s="1186"/>
      <c r="AC87" s="1186"/>
      <c r="AD87" s="1186"/>
      <c r="AH87" s="251">
        <v>48</v>
      </c>
      <c r="AI87" s="251">
        <f t="shared" si="8"/>
        <v>1778</v>
      </c>
      <c r="AJ87" s="251" t="str">
        <f t="shared" ca="1" si="7"/>
        <v>Weishaupt</v>
      </c>
      <c r="AL87" s="251">
        <f t="shared" ca="1" si="6"/>
        <v>1883</v>
      </c>
      <c r="AM87" s="251" t="e">
        <f t="shared" ca="1" si="12"/>
        <v>#N/A</v>
      </c>
      <c r="AN87" s="251" t="e">
        <f t="shared" ca="1" si="9"/>
        <v>#N/A</v>
      </c>
      <c r="AO87" s="251" t="e">
        <f t="shared" ca="1" si="10"/>
        <v>#N/A</v>
      </c>
    </row>
    <row r="88" spans="1:41" x14ac:dyDescent="0.2">
      <c r="A88">
        <f t="shared" si="11"/>
        <v>2</v>
      </c>
      <c r="B88">
        <v>79</v>
      </c>
      <c r="C88" s="1078">
        <v>3</v>
      </c>
      <c r="D88" s="1181" t="s">
        <v>5347</v>
      </c>
      <c r="E88" s="1077" t="s">
        <v>5045</v>
      </c>
      <c r="F88" s="1185">
        <v>2</v>
      </c>
      <c r="G88" s="1186"/>
      <c r="H88" s="1186"/>
      <c r="I88" s="1186"/>
      <c r="J88" s="1186"/>
      <c r="K88" s="1186"/>
      <c r="L88" s="1186"/>
      <c r="M88" s="1186"/>
      <c r="N88" s="1186"/>
      <c r="O88" s="1186"/>
      <c r="P88" s="1186"/>
      <c r="Q88" s="1186"/>
      <c r="R88" s="1186"/>
      <c r="S88" s="1186"/>
      <c r="T88" s="1186"/>
      <c r="U88" s="1186"/>
      <c r="V88" s="1186"/>
      <c r="W88" s="1186">
        <v>30.72</v>
      </c>
      <c r="X88" s="1186">
        <v>4.4400000000000004</v>
      </c>
      <c r="Y88" s="1186">
        <v>29.4</v>
      </c>
      <c r="Z88" s="1186">
        <v>2.9</v>
      </c>
      <c r="AA88" s="1186"/>
      <c r="AB88" s="1186"/>
      <c r="AC88" s="1186"/>
      <c r="AD88" s="1186"/>
      <c r="AH88" s="251">
        <v>49</v>
      </c>
      <c r="AI88" s="251">
        <f t="shared" si="8"/>
        <v>1815</v>
      </c>
      <c r="AJ88" s="251" t="str">
        <f t="shared" ca="1" si="7"/>
        <v>Weider Wärmepumpen GmbH</v>
      </c>
      <c r="AL88" s="251">
        <f t="shared" ca="1" si="6"/>
        <v>1884</v>
      </c>
      <c r="AM88" s="251" t="e">
        <f t="shared" ca="1" si="12"/>
        <v>#N/A</v>
      </c>
      <c r="AN88" s="251" t="e">
        <f t="shared" ca="1" si="9"/>
        <v>#N/A</v>
      </c>
      <c r="AO88" s="251" t="e">
        <f t="shared" ca="1" si="10"/>
        <v>#N/A</v>
      </c>
    </row>
    <row r="89" spans="1:41" x14ac:dyDescent="0.2">
      <c r="A89">
        <f t="shared" si="11"/>
        <v>2</v>
      </c>
      <c r="B89">
        <v>80</v>
      </c>
      <c r="C89" s="1078">
        <v>3</v>
      </c>
      <c r="D89" s="1181" t="s">
        <v>5347</v>
      </c>
      <c r="E89" s="1077" t="s">
        <v>5046</v>
      </c>
      <c r="F89" s="1185">
        <v>2</v>
      </c>
      <c r="G89" s="1186"/>
      <c r="H89" s="1186"/>
      <c r="I89" s="1186"/>
      <c r="J89" s="1186"/>
      <c r="K89" s="1186"/>
      <c r="L89" s="1186"/>
      <c r="M89" s="1186"/>
      <c r="N89" s="1186"/>
      <c r="O89" s="1186"/>
      <c r="P89" s="1186"/>
      <c r="Q89" s="1186"/>
      <c r="R89" s="1186"/>
      <c r="S89" s="1186"/>
      <c r="T89" s="1186"/>
      <c r="U89" s="1186"/>
      <c r="V89" s="1186"/>
      <c r="W89" s="1186">
        <v>39.94</v>
      </c>
      <c r="X89" s="1186">
        <v>4.49</v>
      </c>
      <c r="Y89" s="1186">
        <v>37.799999999999997</v>
      </c>
      <c r="Z89" s="1186">
        <v>3.1</v>
      </c>
      <c r="AA89" s="1186"/>
      <c r="AB89" s="1186"/>
      <c r="AC89" s="1186"/>
      <c r="AD89" s="1186"/>
      <c r="AH89" s="251">
        <v>50</v>
      </c>
      <c r="AI89" s="251">
        <f t="shared" si="8"/>
        <v>1820</v>
      </c>
      <c r="AJ89" s="251" t="str">
        <f t="shared" ca="1" si="7"/>
        <v>Wolf (Schweiz) AG</v>
      </c>
      <c r="AL89" s="251">
        <f t="shared" ca="1" si="6"/>
        <v>1885</v>
      </c>
      <c r="AM89" s="251" t="e">
        <f t="shared" ca="1" si="12"/>
        <v>#N/A</v>
      </c>
      <c r="AN89" s="251" t="e">
        <f t="shared" ca="1" si="9"/>
        <v>#N/A</v>
      </c>
      <c r="AO89" s="251" t="e">
        <f t="shared" ca="1" si="10"/>
        <v>#N/A</v>
      </c>
    </row>
    <row r="90" spans="1:41" x14ac:dyDescent="0.2">
      <c r="A90">
        <f t="shared" si="11"/>
        <v>2</v>
      </c>
      <c r="B90">
        <v>81</v>
      </c>
      <c r="C90" s="1078">
        <v>3</v>
      </c>
      <c r="D90" s="1181" t="s">
        <v>5347</v>
      </c>
      <c r="E90" s="1077" t="s">
        <v>5047</v>
      </c>
      <c r="F90" s="1185">
        <v>2</v>
      </c>
      <c r="G90" s="1186"/>
      <c r="H90" s="1186"/>
      <c r="I90" s="1186"/>
      <c r="J90" s="1186"/>
      <c r="K90" s="1186"/>
      <c r="L90" s="1186"/>
      <c r="M90" s="1186"/>
      <c r="N90" s="1186"/>
      <c r="O90" s="1186"/>
      <c r="P90" s="1186"/>
      <c r="Q90" s="1186"/>
      <c r="R90" s="1186"/>
      <c r="S90" s="1186"/>
      <c r="T90" s="1186"/>
      <c r="U90" s="1186"/>
      <c r="V90" s="1186"/>
      <c r="W90" s="1186">
        <v>59.22</v>
      </c>
      <c r="X90" s="1186">
        <v>4.32</v>
      </c>
      <c r="Y90" s="1186">
        <v>54.1</v>
      </c>
      <c r="Z90" s="1186">
        <v>3</v>
      </c>
      <c r="AA90" s="1186"/>
      <c r="AB90" s="1186"/>
      <c r="AC90" s="1186"/>
      <c r="AD90" s="1186"/>
      <c r="AH90" s="251">
        <v>51</v>
      </c>
      <c r="AI90" s="251">
        <f t="shared" si="8"/>
        <v>1836</v>
      </c>
      <c r="AJ90" s="251">
        <f t="shared" ca="1" si="7"/>
        <v>0</v>
      </c>
      <c r="AL90" s="251">
        <f t="shared" ca="1" si="6"/>
        <v>1886</v>
      </c>
      <c r="AM90" s="251" t="e">
        <f t="shared" ca="1" si="12"/>
        <v>#N/A</v>
      </c>
      <c r="AN90" s="251" t="e">
        <f t="shared" ca="1" si="9"/>
        <v>#N/A</v>
      </c>
      <c r="AO90" s="251" t="e">
        <f t="shared" ca="1" si="10"/>
        <v>#N/A</v>
      </c>
    </row>
    <row r="91" spans="1:41" x14ac:dyDescent="0.2">
      <c r="A91">
        <f t="shared" si="11"/>
        <v>2</v>
      </c>
      <c r="B91">
        <v>82</v>
      </c>
      <c r="C91" s="1078">
        <v>3</v>
      </c>
      <c r="D91" s="1181" t="s">
        <v>5347</v>
      </c>
      <c r="E91" s="1077" t="s">
        <v>5048</v>
      </c>
      <c r="F91" s="1185">
        <v>2</v>
      </c>
      <c r="G91" s="1186"/>
      <c r="H91" s="1186"/>
      <c r="I91" s="1186"/>
      <c r="J91" s="1186"/>
      <c r="K91" s="1186"/>
      <c r="L91" s="1186"/>
      <c r="M91" s="1186"/>
      <c r="N91" s="1186"/>
      <c r="O91" s="1186"/>
      <c r="P91" s="1186"/>
      <c r="Q91" s="1186"/>
      <c r="R91" s="1186"/>
      <c r="S91" s="1186"/>
      <c r="T91" s="1186"/>
      <c r="U91" s="1186"/>
      <c r="V91" s="1186"/>
      <c r="W91" s="1186">
        <v>28.3</v>
      </c>
      <c r="X91" s="1186">
        <v>4.07</v>
      </c>
      <c r="Y91" s="1186">
        <v>27.4</v>
      </c>
      <c r="Z91" s="1186">
        <v>2.9</v>
      </c>
      <c r="AA91" s="1186"/>
      <c r="AB91" s="1186"/>
      <c r="AC91" s="1186"/>
      <c r="AD91" s="1186"/>
      <c r="AH91" s="251">
        <v>52</v>
      </c>
      <c r="AI91" s="251" t="e">
        <f t="shared" si="8"/>
        <v>#N/A</v>
      </c>
      <c r="AJ91" s="251" t="e">
        <f t="shared" ca="1" si="7"/>
        <v>#N/A</v>
      </c>
      <c r="AL91" s="251">
        <f t="shared" ca="1" si="6"/>
        <v>1887</v>
      </c>
      <c r="AM91" s="251" t="e">
        <f t="shared" ca="1" si="12"/>
        <v>#N/A</v>
      </c>
      <c r="AN91" s="251" t="e">
        <f t="shared" ca="1" si="9"/>
        <v>#N/A</v>
      </c>
      <c r="AO91" s="251" t="e">
        <f t="shared" ca="1" si="10"/>
        <v>#N/A</v>
      </c>
    </row>
    <row r="92" spans="1:41" x14ac:dyDescent="0.2">
      <c r="A92">
        <f t="shared" si="11"/>
        <v>2</v>
      </c>
      <c r="B92">
        <v>83</v>
      </c>
      <c r="C92" s="1081">
        <v>3</v>
      </c>
      <c r="D92" s="1181" t="s">
        <v>5347</v>
      </c>
      <c r="E92" s="1082" t="s">
        <v>5049</v>
      </c>
      <c r="F92" s="1188">
        <v>2</v>
      </c>
      <c r="G92" s="1189"/>
      <c r="H92" s="1189"/>
      <c r="I92" s="1189"/>
      <c r="J92" s="1189"/>
      <c r="K92" s="1189"/>
      <c r="L92" s="1189"/>
      <c r="M92" s="1189"/>
      <c r="N92" s="1189"/>
      <c r="O92" s="1189"/>
      <c r="P92" s="1189"/>
      <c r="Q92" s="1189"/>
      <c r="R92" s="1189"/>
      <c r="S92" s="1189"/>
      <c r="T92" s="1189"/>
      <c r="U92" s="1189"/>
      <c r="V92" s="1189"/>
      <c r="W92" s="1189">
        <v>42.9</v>
      </c>
      <c r="X92" s="1189">
        <v>4.0199999999999996</v>
      </c>
      <c r="Y92" s="1189">
        <v>42.7</v>
      </c>
      <c r="Z92" s="1189">
        <v>2.9</v>
      </c>
      <c r="AA92" s="1189"/>
      <c r="AB92" s="1189"/>
      <c r="AC92" s="1189"/>
      <c r="AD92" s="1189"/>
      <c r="AH92" s="251">
        <v>53</v>
      </c>
      <c r="AI92" s="251" t="e">
        <f t="shared" si="8"/>
        <v>#N/A</v>
      </c>
      <c r="AJ92" s="251" t="e">
        <f t="shared" ca="1" si="7"/>
        <v>#N/A</v>
      </c>
      <c r="AL92" s="251">
        <f t="shared" ca="1" si="6"/>
        <v>1888</v>
      </c>
      <c r="AM92" s="251" t="e">
        <f t="shared" ca="1" si="12"/>
        <v>#N/A</v>
      </c>
      <c r="AN92" s="251" t="e">
        <f t="shared" ca="1" si="9"/>
        <v>#N/A</v>
      </c>
      <c r="AO92" s="251" t="e">
        <f t="shared" ca="1" si="10"/>
        <v>#N/A</v>
      </c>
    </row>
    <row r="93" spans="1:41" x14ac:dyDescent="0.2">
      <c r="A93">
        <f t="shared" si="11"/>
        <v>3</v>
      </c>
      <c r="B93">
        <v>84</v>
      </c>
      <c r="C93" s="1190">
        <v>2</v>
      </c>
      <c r="D93" s="1181" t="s">
        <v>5418</v>
      </c>
      <c r="E93" s="1191" t="s">
        <v>5419</v>
      </c>
      <c r="F93" s="1192">
        <v>4</v>
      </c>
      <c r="G93" s="1193">
        <v>10.38</v>
      </c>
      <c r="H93" s="1193">
        <v>2.13</v>
      </c>
      <c r="I93" s="1193">
        <v>10.38</v>
      </c>
      <c r="J93" s="1193">
        <v>2.4300000000000002</v>
      </c>
      <c r="K93" s="1193">
        <v>7.75</v>
      </c>
      <c r="L93" s="1193">
        <v>3.11</v>
      </c>
      <c r="M93" s="1193">
        <v>10.8</v>
      </c>
      <c r="N93" s="1193">
        <v>4.3</v>
      </c>
      <c r="O93" s="1193">
        <v>10.8</v>
      </c>
      <c r="P93" s="1193">
        <v>5.45</v>
      </c>
      <c r="Q93" s="1193">
        <v>9.27</v>
      </c>
      <c r="R93" s="1193">
        <v>1.82</v>
      </c>
      <c r="S93" s="1193">
        <v>9.2899999999999991</v>
      </c>
      <c r="T93" s="1193">
        <v>2.64</v>
      </c>
      <c r="U93" s="1193">
        <v>9.48</v>
      </c>
      <c r="V93" s="1193">
        <v>3.08</v>
      </c>
      <c r="W93" s="1193"/>
      <c r="X93" s="1193"/>
      <c r="Y93" s="1193"/>
      <c r="Z93" s="1193"/>
      <c r="AA93" s="1193"/>
      <c r="AB93" s="1193"/>
      <c r="AC93" s="1193"/>
      <c r="AD93" s="1193"/>
      <c r="AH93" s="251">
        <v>54</v>
      </c>
      <c r="AI93" s="251" t="e">
        <f t="shared" si="8"/>
        <v>#N/A</v>
      </c>
      <c r="AJ93" s="251" t="e">
        <f t="shared" ca="1" si="7"/>
        <v>#N/A</v>
      </c>
      <c r="AL93" s="251">
        <f t="shared" ca="1" si="6"/>
        <v>1889</v>
      </c>
      <c r="AM93" s="251" t="e">
        <f t="shared" ca="1" si="12"/>
        <v>#N/A</v>
      </c>
      <c r="AN93" s="251" t="e">
        <f t="shared" ca="1" si="9"/>
        <v>#N/A</v>
      </c>
      <c r="AO93" s="251" t="e">
        <f t="shared" ca="1" si="10"/>
        <v>#N/A</v>
      </c>
    </row>
    <row r="94" spans="1:41" x14ac:dyDescent="0.2">
      <c r="A94">
        <f t="shared" si="11"/>
        <v>3</v>
      </c>
      <c r="B94">
        <v>85</v>
      </c>
      <c r="C94" s="1078">
        <v>2</v>
      </c>
      <c r="D94" s="1191" t="s">
        <v>5418</v>
      </c>
      <c r="E94" s="1077" t="s">
        <v>5420</v>
      </c>
      <c r="F94" s="1185">
        <v>4</v>
      </c>
      <c r="G94" s="1186">
        <v>10.38</v>
      </c>
      <c r="H94" s="1186">
        <v>2.13</v>
      </c>
      <c r="I94" s="1186">
        <v>10.38</v>
      </c>
      <c r="J94" s="1186">
        <v>2.4300000000000002</v>
      </c>
      <c r="K94" s="1186">
        <v>7.75</v>
      </c>
      <c r="L94" s="1186">
        <v>3.11</v>
      </c>
      <c r="M94" s="1186">
        <v>10.8</v>
      </c>
      <c r="N94" s="1186">
        <v>4.3</v>
      </c>
      <c r="O94" s="1186">
        <v>10.8</v>
      </c>
      <c r="P94" s="1186">
        <v>5.45</v>
      </c>
      <c r="Q94" s="1186">
        <v>9.27</v>
      </c>
      <c r="R94" s="1186">
        <v>1.82</v>
      </c>
      <c r="S94" s="1186">
        <v>9.2899999999999991</v>
      </c>
      <c r="T94" s="1186">
        <v>2.64</v>
      </c>
      <c r="U94" s="1186">
        <v>9.48</v>
      </c>
      <c r="V94" s="1186">
        <v>3.08</v>
      </c>
      <c r="W94" s="1186"/>
      <c r="X94" s="1186"/>
      <c r="Y94" s="1186"/>
      <c r="Z94" s="1186"/>
      <c r="AA94" s="1186"/>
      <c r="AB94" s="1186"/>
      <c r="AC94" s="1186"/>
      <c r="AD94" s="1187"/>
      <c r="AH94" s="251">
        <v>55</v>
      </c>
      <c r="AI94" s="251" t="e">
        <f t="shared" si="8"/>
        <v>#N/A</v>
      </c>
      <c r="AJ94" s="251" t="e">
        <f t="shared" ca="1" si="7"/>
        <v>#N/A</v>
      </c>
      <c r="AL94" s="251">
        <f t="shared" ca="1" si="6"/>
        <v>1890</v>
      </c>
      <c r="AM94" s="251" t="e">
        <f t="shared" ca="1" si="12"/>
        <v>#N/A</v>
      </c>
      <c r="AN94" s="251" t="e">
        <f t="shared" ca="1" si="9"/>
        <v>#N/A</v>
      </c>
      <c r="AO94" s="251" t="e">
        <f t="shared" ca="1" si="10"/>
        <v>#N/A</v>
      </c>
    </row>
    <row r="95" spans="1:41" x14ac:dyDescent="0.2">
      <c r="A95">
        <f t="shared" si="11"/>
        <v>3</v>
      </c>
      <c r="B95">
        <v>86</v>
      </c>
      <c r="C95" s="1078">
        <v>2</v>
      </c>
      <c r="D95" s="1191" t="s">
        <v>5418</v>
      </c>
      <c r="E95" s="1077" t="s">
        <v>5421</v>
      </c>
      <c r="F95" s="1185">
        <v>4</v>
      </c>
      <c r="G95" s="1186">
        <v>12.1</v>
      </c>
      <c r="H95" s="1186">
        <v>2.19</v>
      </c>
      <c r="I95" s="1186">
        <v>12.2</v>
      </c>
      <c r="J95" s="1186">
        <v>2.38</v>
      </c>
      <c r="K95" s="1186">
        <v>7.75</v>
      </c>
      <c r="L95" s="1186">
        <v>3.11</v>
      </c>
      <c r="M95" s="1186">
        <v>13</v>
      </c>
      <c r="N95" s="1186">
        <v>4.18</v>
      </c>
      <c r="O95" s="1186">
        <v>20.440000000000001</v>
      </c>
      <c r="P95" s="1186">
        <v>4.9400000000000004</v>
      </c>
      <c r="Q95" s="1186">
        <v>10.1</v>
      </c>
      <c r="R95" s="1186">
        <v>1.79</v>
      </c>
      <c r="S95" s="1186">
        <v>10.6</v>
      </c>
      <c r="T95" s="1186">
        <v>2.41</v>
      </c>
      <c r="U95" s="1186">
        <v>17.63</v>
      </c>
      <c r="V95" s="1186">
        <v>3.78</v>
      </c>
      <c r="W95" s="1186"/>
      <c r="X95" s="1186"/>
      <c r="Y95" s="1186"/>
      <c r="Z95" s="1186"/>
      <c r="AA95" s="1186"/>
      <c r="AB95" s="1186"/>
      <c r="AC95" s="1186"/>
      <c r="AD95" s="1187"/>
      <c r="AH95" s="251">
        <v>56</v>
      </c>
      <c r="AI95" s="251" t="e">
        <f t="shared" si="8"/>
        <v>#N/A</v>
      </c>
      <c r="AJ95" s="251" t="e">
        <f t="shared" ca="1" si="7"/>
        <v>#N/A</v>
      </c>
      <c r="AL95" s="251">
        <f t="shared" ca="1" si="6"/>
        <v>1891</v>
      </c>
      <c r="AM95" s="251" t="e">
        <f t="shared" ca="1" si="12"/>
        <v>#N/A</v>
      </c>
      <c r="AN95" s="251" t="e">
        <f t="shared" ca="1" si="9"/>
        <v>#N/A</v>
      </c>
      <c r="AO95" s="251" t="e">
        <f t="shared" ca="1" si="10"/>
        <v>#N/A</v>
      </c>
    </row>
    <row r="96" spans="1:41" x14ac:dyDescent="0.2">
      <c r="A96">
        <f t="shared" si="11"/>
        <v>3</v>
      </c>
      <c r="B96">
        <v>87</v>
      </c>
      <c r="C96" s="1078">
        <v>2</v>
      </c>
      <c r="D96" s="1077" t="s">
        <v>5418</v>
      </c>
      <c r="E96" s="1077" t="s">
        <v>5422</v>
      </c>
      <c r="F96" s="1185">
        <v>4</v>
      </c>
      <c r="G96" s="1186">
        <v>12.1</v>
      </c>
      <c r="H96" s="1186">
        <v>2.19</v>
      </c>
      <c r="I96" s="1186">
        <v>12.2</v>
      </c>
      <c r="J96" s="1186">
        <v>2.38</v>
      </c>
      <c r="K96" s="1186">
        <v>7.75</v>
      </c>
      <c r="L96" s="1186">
        <v>3.11</v>
      </c>
      <c r="M96" s="1186">
        <v>13</v>
      </c>
      <c r="N96" s="1186">
        <v>4.18</v>
      </c>
      <c r="O96" s="1186">
        <v>20.440000000000001</v>
      </c>
      <c r="P96" s="1186">
        <v>4.9400000000000004</v>
      </c>
      <c r="Q96" s="1186">
        <v>10.1</v>
      </c>
      <c r="R96" s="1186">
        <v>1.79</v>
      </c>
      <c r="S96" s="1186">
        <v>10.6</v>
      </c>
      <c r="T96" s="1186">
        <v>2.41</v>
      </c>
      <c r="U96" s="1186">
        <v>17.63</v>
      </c>
      <c r="V96" s="1186">
        <v>3.78</v>
      </c>
      <c r="W96" s="1186"/>
      <c r="X96" s="1186"/>
      <c r="Y96" s="1186"/>
      <c r="Z96" s="1186"/>
      <c r="AA96" s="1186"/>
      <c r="AB96" s="1186"/>
      <c r="AC96" s="1186"/>
      <c r="AD96" s="1187"/>
      <c r="AH96" s="251">
        <v>57</v>
      </c>
      <c r="AI96" s="251" t="e">
        <f t="shared" si="8"/>
        <v>#N/A</v>
      </c>
      <c r="AJ96" s="251" t="e">
        <f t="shared" ca="1" si="7"/>
        <v>#N/A</v>
      </c>
      <c r="AL96" s="251">
        <f t="shared" ca="1" si="6"/>
        <v>1892</v>
      </c>
      <c r="AM96" s="251" t="e">
        <f t="shared" ca="1" si="12"/>
        <v>#N/A</v>
      </c>
      <c r="AN96" s="251" t="e">
        <f t="shared" ca="1" si="9"/>
        <v>#N/A</v>
      </c>
      <c r="AO96" s="251" t="e">
        <f t="shared" ca="1" si="10"/>
        <v>#N/A</v>
      </c>
    </row>
    <row r="97" spans="1:41" x14ac:dyDescent="0.2">
      <c r="A97">
        <f t="shared" si="11"/>
        <v>3</v>
      </c>
      <c r="B97">
        <v>88</v>
      </c>
      <c r="C97" s="1078">
        <v>2</v>
      </c>
      <c r="D97" s="1077" t="s">
        <v>5418</v>
      </c>
      <c r="E97" s="1077" t="s">
        <v>5423</v>
      </c>
      <c r="F97" s="1185">
        <v>4</v>
      </c>
      <c r="G97" s="1186">
        <v>12.16</v>
      </c>
      <c r="H97" s="1186">
        <v>2.17</v>
      </c>
      <c r="I97" s="1186">
        <v>12.98</v>
      </c>
      <c r="J97" s="1186">
        <v>2.4</v>
      </c>
      <c r="K97" s="1186">
        <v>7.75</v>
      </c>
      <c r="L97" s="1186">
        <v>3.11</v>
      </c>
      <c r="M97" s="1186">
        <v>15.17</v>
      </c>
      <c r="N97" s="1186">
        <v>4.0999999999999996</v>
      </c>
      <c r="O97" s="1186">
        <v>18.18</v>
      </c>
      <c r="P97" s="1186">
        <v>4.66</v>
      </c>
      <c r="Q97" s="1186">
        <v>12</v>
      </c>
      <c r="R97" s="1186">
        <v>1.74</v>
      </c>
      <c r="S97" s="1186">
        <v>12.24</v>
      </c>
      <c r="T97" s="1186">
        <v>2.48</v>
      </c>
      <c r="U97" s="1186">
        <v>14.49</v>
      </c>
      <c r="V97" s="1186">
        <v>3.36</v>
      </c>
      <c r="W97" s="1186"/>
      <c r="X97" s="1186"/>
      <c r="Y97" s="1186"/>
      <c r="Z97" s="1186"/>
      <c r="AA97" s="1186"/>
      <c r="AB97" s="1186"/>
      <c r="AC97" s="1186"/>
      <c r="AD97" s="1187"/>
      <c r="AH97" s="251">
        <v>58</v>
      </c>
      <c r="AI97" s="251" t="e">
        <f t="shared" si="8"/>
        <v>#N/A</v>
      </c>
      <c r="AJ97" s="251" t="e">
        <f t="shared" ca="1" si="7"/>
        <v>#N/A</v>
      </c>
      <c r="AL97" s="251">
        <f t="shared" ca="1" si="6"/>
        <v>1893</v>
      </c>
      <c r="AM97" s="251" t="e">
        <f t="shared" ca="1" si="12"/>
        <v>#N/A</v>
      </c>
      <c r="AN97" s="251" t="e">
        <f t="shared" ca="1" si="9"/>
        <v>#N/A</v>
      </c>
      <c r="AO97" s="251" t="e">
        <f t="shared" ca="1" si="10"/>
        <v>#N/A</v>
      </c>
    </row>
    <row r="98" spans="1:41" x14ac:dyDescent="0.2">
      <c r="A98">
        <f t="shared" si="11"/>
        <v>3</v>
      </c>
      <c r="B98">
        <v>89</v>
      </c>
      <c r="C98" s="1078">
        <v>2</v>
      </c>
      <c r="D98" s="1077" t="s">
        <v>5418</v>
      </c>
      <c r="E98" s="1077" t="s">
        <v>5424</v>
      </c>
      <c r="F98" s="1185">
        <v>4</v>
      </c>
      <c r="G98" s="1186">
        <v>12.16</v>
      </c>
      <c r="H98" s="1186">
        <v>2.17</v>
      </c>
      <c r="I98" s="1186">
        <v>12.98</v>
      </c>
      <c r="J98" s="1186">
        <v>2.4</v>
      </c>
      <c r="K98" s="1186">
        <v>7.75</v>
      </c>
      <c r="L98" s="1186">
        <v>3.11</v>
      </c>
      <c r="M98" s="1186">
        <v>15.17</v>
      </c>
      <c r="N98" s="1186">
        <v>4.0999999999999996</v>
      </c>
      <c r="O98" s="1186">
        <v>18.18</v>
      </c>
      <c r="P98" s="1186">
        <v>4.66</v>
      </c>
      <c r="Q98" s="1186">
        <v>12</v>
      </c>
      <c r="R98" s="1186">
        <v>1.74</v>
      </c>
      <c r="S98" s="1186">
        <v>12.24</v>
      </c>
      <c r="T98" s="1186">
        <v>2.48</v>
      </c>
      <c r="U98" s="1186">
        <v>14.49</v>
      </c>
      <c r="V98" s="1186">
        <v>3.36</v>
      </c>
      <c r="W98" s="1186"/>
      <c r="X98" s="1186"/>
      <c r="Y98" s="1186"/>
      <c r="Z98" s="1186"/>
      <c r="AA98" s="1186"/>
      <c r="AB98" s="1186"/>
      <c r="AC98" s="1186"/>
      <c r="AD98" s="1187"/>
      <c r="AH98" s="251">
        <v>59</v>
      </c>
      <c r="AI98" s="251" t="e">
        <f t="shared" si="8"/>
        <v>#N/A</v>
      </c>
      <c r="AJ98" s="251" t="e">
        <f t="shared" ca="1" si="7"/>
        <v>#N/A</v>
      </c>
      <c r="AL98" s="251">
        <f t="shared" ca="1" si="6"/>
        <v>1894</v>
      </c>
      <c r="AM98" s="251" t="e">
        <f t="shared" ca="1" si="12"/>
        <v>#N/A</v>
      </c>
      <c r="AN98" s="251" t="e">
        <f t="shared" ca="1" si="9"/>
        <v>#N/A</v>
      </c>
      <c r="AO98" s="251" t="e">
        <f t="shared" ca="1" si="10"/>
        <v>#N/A</v>
      </c>
    </row>
    <row r="99" spans="1:41" x14ac:dyDescent="0.2">
      <c r="A99">
        <f t="shared" si="11"/>
        <v>3</v>
      </c>
      <c r="B99">
        <v>90</v>
      </c>
      <c r="C99" s="1078">
        <v>2</v>
      </c>
      <c r="D99" s="1077" t="s">
        <v>5418</v>
      </c>
      <c r="E99" s="1077" t="s">
        <v>5425</v>
      </c>
      <c r="F99" s="1185">
        <v>4</v>
      </c>
      <c r="G99" s="1186">
        <v>8.9</v>
      </c>
      <c r="H99" s="1186">
        <v>2.0299999999999998</v>
      </c>
      <c r="I99" s="1186">
        <v>10.38</v>
      </c>
      <c r="J99" s="1186">
        <v>2.4300000000000002</v>
      </c>
      <c r="K99" s="1186">
        <v>7.75</v>
      </c>
      <c r="L99" s="1186">
        <v>3.11</v>
      </c>
      <c r="M99" s="1186">
        <v>10.8</v>
      </c>
      <c r="N99" s="1186">
        <v>4.3</v>
      </c>
      <c r="O99" s="1186">
        <v>13.16</v>
      </c>
      <c r="P99" s="1186">
        <v>4.51</v>
      </c>
      <c r="Q99" s="1186">
        <v>9.27</v>
      </c>
      <c r="R99" s="1186">
        <v>1.82</v>
      </c>
      <c r="S99" s="1186">
        <v>9.2899999999999991</v>
      </c>
      <c r="T99" s="1186">
        <v>2.64</v>
      </c>
      <c r="U99" s="1186">
        <v>10.92</v>
      </c>
      <c r="V99" s="1186">
        <v>3.5</v>
      </c>
      <c r="W99" s="1186"/>
      <c r="X99" s="1186"/>
      <c r="Y99" s="1186"/>
      <c r="Z99" s="1186"/>
      <c r="AA99" s="1186"/>
      <c r="AB99" s="1186"/>
      <c r="AC99" s="1186"/>
      <c r="AD99" s="1187"/>
      <c r="AH99" s="251">
        <v>60</v>
      </c>
      <c r="AI99" s="251" t="e">
        <f t="shared" si="8"/>
        <v>#N/A</v>
      </c>
      <c r="AJ99" s="251" t="e">
        <f t="shared" ca="1" si="7"/>
        <v>#N/A</v>
      </c>
      <c r="AL99" s="251">
        <f t="shared" ca="1" si="6"/>
        <v>1895</v>
      </c>
      <c r="AM99" s="251" t="e">
        <f t="shared" ca="1" si="12"/>
        <v>#N/A</v>
      </c>
      <c r="AN99" s="251" t="e">
        <f t="shared" ca="1" si="9"/>
        <v>#N/A</v>
      </c>
      <c r="AO99" s="251" t="e">
        <f t="shared" ca="1" si="10"/>
        <v>#N/A</v>
      </c>
    </row>
    <row r="100" spans="1:41" x14ac:dyDescent="0.2">
      <c r="A100">
        <f t="shared" si="11"/>
        <v>3</v>
      </c>
      <c r="B100">
        <v>91</v>
      </c>
      <c r="C100" s="1078">
        <v>2</v>
      </c>
      <c r="D100" s="1077" t="s">
        <v>5418</v>
      </c>
      <c r="E100" s="1077" t="s">
        <v>5426</v>
      </c>
      <c r="F100" s="1185">
        <v>4</v>
      </c>
      <c r="G100" s="1186">
        <v>8.9</v>
      </c>
      <c r="H100" s="1186">
        <v>2.0299999999999998</v>
      </c>
      <c r="I100" s="1186">
        <v>10.38</v>
      </c>
      <c r="J100" s="1186">
        <v>2.4300000000000002</v>
      </c>
      <c r="K100" s="1186">
        <v>7.75</v>
      </c>
      <c r="L100" s="1186">
        <v>3.11</v>
      </c>
      <c r="M100" s="1186">
        <v>10.8</v>
      </c>
      <c r="N100" s="1186">
        <v>4.3</v>
      </c>
      <c r="O100" s="1186">
        <v>13.16</v>
      </c>
      <c r="P100" s="1186">
        <v>4.51</v>
      </c>
      <c r="Q100" s="1186">
        <v>9.27</v>
      </c>
      <c r="R100" s="1186">
        <v>1.82</v>
      </c>
      <c r="S100" s="1186">
        <v>9.2899999999999991</v>
      </c>
      <c r="T100" s="1186">
        <v>2.64</v>
      </c>
      <c r="U100" s="1186">
        <v>10.92</v>
      </c>
      <c r="V100" s="1186">
        <v>3.5</v>
      </c>
      <c r="W100" s="1186"/>
      <c r="X100" s="1186"/>
      <c r="Y100" s="1186"/>
      <c r="Z100" s="1186"/>
      <c r="AA100" s="1186"/>
      <c r="AB100" s="1186"/>
      <c r="AC100" s="1186"/>
      <c r="AD100" s="1187"/>
      <c r="AH100" s="251">
        <v>61</v>
      </c>
      <c r="AI100" s="251" t="e">
        <f t="shared" si="8"/>
        <v>#N/A</v>
      </c>
      <c r="AJ100" s="251" t="e">
        <f t="shared" ca="1" si="7"/>
        <v>#N/A</v>
      </c>
      <c r="AL100" s="251">
        <f t="shared" ca="1" si="6"/>
        <v>1896</v>
      </c>
      <c r="AM100" s="251" t="e">
        <f t="shared" ca="1" si="12"/>
        <v>#N/A</v>
      </c>
      <c r="AN100" s="251" t="e">
        <f t="shared" ca="1" si="9"/>
        <v>#N/A</v>
      </c>
      <c r="AO100" s="251" t="e">
        <f t="shared" ca="1" si="10"/>
        <v>#N/A</v>
      </c>
    </row>
    <row r="101" spans="1:41" x14ac:dyDescent="0.2">
      <c r="A101">
        <f t="shared" si="11"/>
        <v>3</v>
      </c>
      <c r="B101">
        <v>92</v>
      </c>
      <c r="C101" s="1078">
        <v>2</v>
      </c>
      <c r="D101" s="1077" t="s">
        <v>5418</v>
      </c>
      <c r="E101" s="1077" t="s">
        <v>5427</v>
      </c>
      <c r="F101" s="1185">
        <v>4</v>
      </c>
      <c r="G101" s="1186">
        <v>9.69</v>
      </c>
      <c r="H101" s="1186">
        <v>2.06</v>
      </c>
      <c r="I101" s="1186">
        <v>12.2</v>
      </c>
      <c r="J101" s="1186">
        <v>2.38</v>
      </c>
      <c r="K101" s="1186">
        <v>7.75</v>
      </c>
      <c r="L101" s="1186">
        <v>3.11</v>
      </c>
      <c r="M101" s="1186">
        <v>13</v>
      </c>
      <c r="N101" s="1186">
        <v>4.18</v>
      </c>
      <c r="O101" s="1186">
        <v>15.62</v>
      </c>
      <c r="P101" s="1186">
        <v>4.7300000000000004</v>
      </c>
      <c r="Q101" s="1186">
        <v>10.1</v>
      </c>
      <c r="R101" s="1186">
        <v>1.79</v>
      </c>
      <c r="S101" s="1186">
        <v>10.6</v>
      </c>
      <c r="T101" s="1186">
        <v>2.41</v>
      </c>
      <c r="U101" s="1186">
        <v>13.08</v>
      </c>
      <c r="V101" s="1186">
        <v>3.53</v>
      </c>
      <c r="W101" s="1186"/>
      <c r="X101" s="1186"/>
      <c r="Y101" s="1186"/>
      <c r="Z101" s="1186"/>
      <c r="AA101" s="1186"/>
      <c r="AB101" s="1186"/>
      <c r="AC101" s="1186"/>
      <c r="AD101" s="1187"/>
      <c r="AH101" s="251">
        <v>62</v>
      </c>
      <c r="AI101" s="251" t="e">
        <f t="shared" si="8"/>
        <v>#N/A</v>
      </c>
      <c r="AJ101" s="251" t="e">
        <f t="shared" ca="1" si="7"/>
        <v>#N/A</v>
      </c>
      <c r="AL101" s="251">
        <f t="shared" ca="1" si="6"/>
        <v>1897</v>
      </c>
      <c r="AM101" s="251" t="e">
        <f t="shared" ca="1" si="12"/>
        <v>#N/A</v>
      </c>
      <c r="AN101" s="251" t="e">
        <f t="shared" ca="1" si="9"/>
        <v>#N/A</v>
      </c>
      <c r="AO101" s="251" t="e">
        <f t="shared" ca="1" si="10"/>
        <v>#N/A</v>
      </c>
    </row>
    <row r="102" spans="1:41" x14ac:dyDescent="0.2">
      <c r="A102">
        <f t="shared" si="11"/>
        <v>3</v>
      </c>
      <c r="B102">
        <v>93</v>
      </c>
      <c r="C102" s="1078">
        <v>2</v>
      </c>
      <c r="D102" s="1077" t="s">
        <v>5418</v>
      </c>
      <c r="E102" s="1077" t="s">
        <v>5428</v>
      </c>
      <c r="F102" s="1185">
        <v>4</v>
      </c>
      <c r="G102" s="1186">
        <v>9.69</v>
      </c>
      <c r="H102" s="1186">
        <v>2.06</v>
      </c>
      <c r="I102" s="1186">
        <v>12.2</v>
      </c>
      <c r="J102" s="1186">
        <v>2.38</v>
      </c>
      <c r="K102" s="1186">
        <v>7.75</v>
      </c>
      <c r="L102" s="1186">
        <v>3.11</v>
      </c>
      <c r="M102" s="1186">
        <v>13</v>
      </c>
      <c r="N102" s="1186">
        <v>4.18</v>
      </c>
      <c r="O102" s="1186">
        <v>15.62</v>
      </c>
      <c r="P102" s="1186">
        <v>4.7300000000000004</v>
      </c>
      <c r="Q102" s="1186">
        <v>10.1</v>
      </c>
      <c r="R102" s="1186">
        <v>1.79</v>
      </c>
      <c r="S102" s="1186">
        <v>10.6</v>
      </c>
      <c r="T102" s="1186">
        <v>2.41</v>
      </c>
      <c r="U102" s="1186">
        <v>13.08</v>
      </c>
      <c r="V102" s="1186">
        <v>3.53</v>
      </c>
      <c r="W102" s="1186"/>
      <c r="X102" s="1186"/>
      <c r="Y102" s="1186"/>
      <c r="Z102" s="1186"/>
      <c r="AA102" s="1186"/>
      <c r="AB102" s="1186"/>
      <c r="AC102" s="1186"/>
      <c r="AD102" s="1187"/>
      <c r="AH102" s="251">
        <v>63</v>
      </c>
      <c r="AI102" s="251" t="e">
        <f t="shared" si="8"/>
        <v>#N/A</v>
      </c>
      <c r="AJ102" s="251" t="e">
        <f t="shared" ca="1" si="7"/>
        <v>#N/A</v>
      </c>
      <c r="AL102" s="251">
        <f t="shared" ca="1" si="6"/>
        <v>1898</v>
      </c>
      <c r="AM102" s="251" t="e">
        <f t="shared" ca="1" si="12"/>
        <v>#N/A</v>
      </c>
      <c r="AN102" s="251" t="e">
        <f t="shared" ca="1" si="9"/>
        <v>#N/A</v>
      </c>
      <c r="AO102" s="251" t="e">
        <f t="shared" ca="1" si="10"/>
        <v>#N/A</v>
      </c>
    </row>
    <row r="103" spans="1:41" x14ac:dyDescent="0.2">
      <c r="A103">
        <f t="shared" si="11"/>
        <v>3</v>
      </c>
      <c r="B103">
        <v>94</v>
      </c>
      <c r="C103" s="1078">
        <v>2</v>
      </c>
      <c r="D103" s="1077" t="s">
        <v>5418</v>
      </c>
      <c r="E103" s="1077" t="s">
        <v>5429</v>
      </c>
      <c r="F103" s="1185">
        <v>4</v>
      </c>
      <c r="G103" s="1186">
        <v>10.63</v>
      </c>
      <c r="H103" s="1186">
        <v>1.97</v>
      </c>
      <c r="I103" s="1186">
        <v>12.98</v>
      </c>
      <c r="J103" s="1186">
        <v>2.4</v>
      </c>
      <c r="K103" s="1186">
        <v>7.75</v>
      </c>
      <c r="L103" s="1186">
        <v>3.11</v>
      </c>
      <c r="M103" s="1186">
        <v>15.17</v>
      </c>
      <c r="N103" s="1186">
        <v>4.0999999999999996</v>
      </c>
      <c r="O103" s="1186">
        <v>17.71</v>
      </c>
      <c r="P103" s="1186">
        <v>4.72</v>
      </c>
      <c r="Q103" s="1186">
        <v>12</v>
      </c>
      <c r="R103" s="1186">
        <v>1.74</v>
      </c>
      <c r="S103" s="1186">
        <v>12.24</v>
      </c>
      <c r="T103" s="1186">
        <v>2.48</v>
      </c>
      <c r="U103" s="1186">
        <v>14.6</v>
      </c>
      <c r="V103" s="1186">
        <v>3.19</v>
      </c>
      <c r="W103" s="1186"/>
      <c r="X103" s="1186"/>
      <c r="Y103" s="1186"/>
      <c r="Z103" s="1186"/>
      <c r="AA103" s="1186"/>
      <c r="AB103" s="1186"/>
      <c r="AC103" s="1186"/>
      <c r="AD103" s="1187"/>
      <c r="AH103" s="251">
        <v>64</v>
      </c>
      <c r="AI103" s="251" t="e">
        <f t="shared" si="8"/>
        <v>#N/A</v>
      </c>
      <c r="AJ103" s="251" t="e">
        <f t="shared" ca="1" si="7"/>
        <v>#N/A</v>
      </c>
      <c r="AL103" s="251">
        <f t="shared" ca="1" si="6"/>
        <v>1899</v>
      </c>
      <c r="AM103" s="251" t="e">
        <f t="shared" ca="1" si="12"/>
        <v>#N/A</v>
      </c>
      <c r="AN103" s="251" t="e">
        <f t="shared" ca="1" si="9"/>
        <v>#N/A</v>
      </c>
      <c r="AO103" s="251" t="e">
        <f t="shared" ca="1" si="10"/>
        <v>#N/A</v>
      </c>
    </row>
    <row r="104" spans="1:41" x14ac:dyDescent="0.2">
      <c r="A104">
        <f t="shared" si="11"/>
        <v>3</v>
      </c>
      <c r="B104">
        <v>95</v>
      </c>
      <c r="C104" s="1078">
        <v>2</v>
      </c>
      <c r="D104" s="1077" t="s">
        <v>5418</v>
      </c>
      <c r="E104" s="1077" t="s">
        <v>5430</v>
      </c>
      <c r="F104" s="1185">
        <v>4</v>
      </c>
      <c r="G104" s="1186">
        <v>10.63</v>
      </c>
      <c r="H104" s="1186">
        <v>1.97</v>
      </c>
      <c r="I104" s="1186">
        <v>12.98</v>
      </c>
      <c r="J104" s="1186">
        <v>2.4</v>
      </c>
      <c r="K104" s="1186">
        <v>7.75</v>
      </c>
      <c r="L104" s="1186">
        <v>3.11</v>
      </c>
      <c r="M104" s="1186">
        <v>15.17</v>
      </c>
      <c r="N104" s="1186">
        <v>4.0999999999999996</v>
      </c>
      <c r="O104" s="1186">
        <v>17.71</v>
      </c>
      <c r="P104" s="1186">
        <v>4.72</v>
      </c>
      <c r="Q104" s="1186">
        <v>12</v>
      </c>
      <c r="R104" s="1186">
        <v>1.74</v>
      </c>
      <c r="S104" s="1186">
        <v>12.24</v>
      </c>
      <c r="T104" s="1186">
        <v>2.48</v>
      </c>
      <c r="U104" s="1186">
        <v>14.6</v>
      </c>
      <c r="V104" s="1186">
        <v>3.19</v>
      </c>
      <c r="W104" s="1186"/>
      <c r="X104" s="1186"/>
      <c r="Y104" s="1186"/>
      <c r="Z104" s="1186"/>
      <c r="AA104" s="1186"/>
      <c r="AB104" s="1186"/>
      <c r="AC104" s="1186"/>
      <c r="AD104" s="1187"/>
      <c r="AH104" s="251">
        <v>65</v>
      </c>
      <c r="AI104" s="251" t="e">
        <f t="shared" ref="AI104:AI135" si="13">MATCH(AH104,$A$10:$A$2000,0)</f>
        <v>#N/A</v>
      </c>
      <c r="AJ104" s="251" t="e">
        <f t="shared" ca="1" si="7"/>
        <v>#N/A</v>
      </c>
      <c r="AL104" s="251">
        <f t="shared" ca="1" si="6"/>
        <v>1900</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x14ac:dyDescent="0.2">
      <c r="A105">
        <f t="shared" si="11"/>
        <v>3</v>
      </c>
      <c r="B105">
        <v>96</v>
      </c>
      <c r="C105" s="1078">
        <v>2</v>
      </c>
      <c r="D105" s="1077" t="s">
        <v>5418</v>
      </c>
      <c r="E105" s="1077" t="s">
        <v>5431</v>
      </c>
      <c r="F105" s="1185">
        <v>4</v>
      </c>
      <c r="G105" s="1186">
        <v>3.62</v>
      </c>
      <c r="H105" s="1186">
        <v>2.48</v>
      </c>
      <c r="I105" s="1186">
        <v>4.4000000000000004</v>
      </c>
      <c r="J105" s="1186">
        <v>2.76</v>
      </c>
      <c r="K105" s="1186">
        <v>4.1500000000000004</v>
      </c>
      <c r="L105" s="1186">
        <v>4.04</v>
      </c>
      <c r="M105" s="1186">
        <v>4.5</v>
      </c>
      <c r="N105" s="1186">
        <v>4.74</v>
      </c>
      <c r="O105" s="1186">
        <v>4.7</v>
      </c>
      <c r="P105" s="1186">
        <v>7.22</v>
      </c>
      <c r="Q105" s="1186">
        <v>3.9</v>
      </c>
      <c r="R105" s="1186">
        <v>1.85</v>
      </c>
      <c r="S105" s="1186">
        <v>4.5</v>
      </c>
      <c r="T105" s="1186">
        <v>2.64</v>
      </c>
      <c r="U105" s="1186">
        <v>4.68</v>
      </c>
      <c r="V105" s="1186">
        <v>3.36</v>
      </c>
      <c r="W105" s="1186"/>
      <c r="X105" s="1186"/>
      <c r="Y105" s="1186"/>
      <c r="Z105" s="1186"/>
      <c r="AA105" s="1186"/>
      <c r="AB105" s="1186"/>
      <c r="AC105" s="1186"/>
      <c r="AD105" s="1187"/>
      <c r="AH105" s="251">
        <v>66</v>
      </c>
      <c r="AI105" s="251" t="e">
        <f t="shared" si="13"/>
        <v>#N/A</v>
      </c>
      <c r="AJ105" s="251" t="e">
        <f t="shared" ref="AJ105:AJ168" ca="1" si="16">OFFSET($D$9,AI105,0)</f>
        <v>#N/A</v>
      </c>
      <c r="AL105" s="251">
        <f t="shared" ca="1" si="6"/>
        <v>1901</v>
      </c>
      <c r="AM105" s="251" t="e">
        <f t="shared" ca="1" si="12"/>
        <v>#N/A</v>
      </c>
      <c r="AN105" s="251" t="e">
        <f t="shared" ca="1" si="14"/>
        <v>#N/A</v>
      </c>
      <c r="AO105" s="251" t="e">
        <f t="shared" ca="1" si="15"/>
        <v>#N/A</v>
      </c>
    </row>
    <row r="106" spans="1:41" x14ac:dyDescent="0.2">
      <c r="A106">
        <f t="shared" si="11"/>
        <v>3</v>
      </c>
      <c r="B106">
        <v>97</v>
      </c>
      <c r="C106" s="1078">
        <v>2</v>
      </c>
      <c r="D106" s="1077" t="s">
        <v>5418</v>
      </c>
      <c r="E106" s="1077" t="s">
        <v>5432</v>
      </c>
      <c r="F106" s="1185">
        <v>4</v>
      </c>
      <c r="G106" s="1186">
        <v>3.62</v>
      </c>
      <c r="H106" s="1186">
        <v>2.48</v>
      </c>
      <c r="I106" s="1186">
        <v>4.4000000000000004</v>
      </c>
      <c r="J106" s="1186">
        <v>2.76</v>
      </c>
      <c r="K106" s="1186">
        <v>4.1500000000000004</v>
      </c>
      <c r="L106" s="1186">
        <v>4.04</v>
      </c>
      <c r="M106" s="1186">
        <v>4.5</v>
      </c>
      <c r="N106" s="1186">
        <v>4.74</v>
      </c>
      <c r="O106" s="1186">
        <v>4.7</v>
      </c>
      <c r="P106" s="1186">
        <v>7.22</v>
      </c>
      <c r="Q106" s="1186">
        <v>3.9</v>
      </c>
      <c r="R106" s="1186">
        <v>1.85</v>
      </c>
      <c r="S106" s="1186">
        <v>4.5</v>
      </c>
      <c r="T106" s="1186">
        <v>2.64</v>
      </c>
      <c r="U106" s="1186">
        <v>4.68</v>
      </c>
      <c r="V106" s="1186">
        <v>3.36</v>
      </c>
      <c r="W106" s="1186"/>
      <c r="X106" s="1186"/>
      <c r="Y106" s="1186"/>
      <c r="Z106" s="1186"/>
      <c r="AA106" s="1186"/>
      <c r="AB106" s="1186"/>
      <c r="AC106" s="1186"/>
      <c r="AD106" s="1187"/>
      <c r="AH106" s="251">
        <v>67</v>
      </c>
      <c r="AI106" s="251" t="e">
        <f t="shared" si="13"/>
        <v>#N/A</v>
      </c>
      <c r="AJ106" s="251" t="e">
        <f t="shared" ca="1" si="16"/>
        <v>#N/A</v>
      </c>
      <c r="AL106" s="251">
        <f t="shared" ref="AL106:AL169" ca="1" si="17">AL105+1</f>
        <v>1902</v>
      </c>
      <c r="AM106" s="251" t="e">
        <f t="shared" ca="1" si="12"/>
        <v>#N/A</v>
      </c>
      <c r="AN106" s="251" t="e">
        <f t="shared" ca="1" si="14"/>
        <v>#N/A</v>
      </c>
      <c r="AO106" s="251" t="e">
        <f t="shared" ca="1" si="15"/>
        <v>#N/A</v>
      </c>
    </row>
    <row r="107" spans="1:41" x14ac:dyDescent="0.2">
      <c r="A107">
        <f t="shared" si="11"/>
        <v>3</v>
      </c>
      <c r="B107">
        <v>98</v>
      </c>
      <c r="C107" s="1078">
        <v>2</v>
      </c>
      <c r="D107" s="1077" t="s">
        <v>5418</v>
      </c>
      <c r="E107" s="1077" t="s">
        <v>5433</v>
      </c>
      <c r="F107" s="1185">
        <v>4</v>
      </c>
      <c r="G107" s="1186">
        <v>4.07</v>
      </c>
      <c r="H107" s="1186">
        <v>2.4700000000000002</v>
      </c>
      <c r="I107" s="1186">
        <v>5</v>
      </c>
      <c r="J107" s="1186">
        <v>2.63</v>
      </c>
      <c r="K107" s="1186">
        <v>5.01</v>
      </c>
      <c r="L107" s="1186">
        <v>3.08</v>
      </c>
      <c r="M107" s="1186">
        <v>5.5</v>
      </c>
      <c r="N107" s="1186">
        <v>4.6500000000000004</v>
      </c>
      <c r="O107" s="1186">
        <v>5.74</v>
      </c>
      <c r="P107" s="1186">
        <v>6.91</v>
      </c>
      <c r="Q107" s="1186">
        <v>4.25</v>
      </c>
      <c r="R107" s="1186">
        <v>1.89</v>
      </c>
      <c r="S107" s="1186">
        <v>5.5</v>
      </c>
      <c r="T107" s="1186">
        <v>2.67</v>
      </c>
      <c r="U107" s="1186">
        <v>5.72</v>
      </c>
      <c r="V107" s="1186">
        <v>3.38</v>
      </c>
      <c r="W107" s="1186"/>
      <c r="X107" s="1186"/>
      <c r="Y107" s="1186"/>
      <c r="Z107" s="1186"/>
      <c r="AA107" s="1186"/>
      <c r="AB107" s="1186"/>
      <c r="AC107" s="1186"/>
      <c r="AD107" s="1187"/>
      <c r="AH107" s="251">
        <v>68</v>
      </c>
      <c r="AI107" s="251" t="e">
        <f t="shared" si="13"/>
        <v>#N/A</v>
      </c>
      <c r="AJ107" s="251" t="e">
        <f t="shared" ca="1" si="16"/>
        <v>#N/A</v>
      </c>
      <c r="AL107" s="251">
        <f t="shared" ca="1" si="17"/>
        <v>1903</v>
      </c>
      <c r="AM107" s="251" t="e">
        <f t="shared" ca="1" si="12"/>
        <v>#N/A</v>
      </c>
      <c r="AN107" s="251" t="e">
        <f t="shared" ca="1" si="14"/>
        <v>#N/A</v>
      </c>
      <c r="AO107" s="251" t="e">
        <f t="shared" ca="1" si="15"/>
        <v>#N/A</v>
      </c>
    </row>
    <row r="108" spans="1:41" x14ac:dyDescent="0.2">
      <c r="A108">
        <f t="shared" si="11"/>
        <v>3</v>
      </c>
      <c r="B108">
        <v>99</v>
      </c>
      <c r="C108" s="1078">
        <v>2</v>
      </c>
      <c r="D108" s="1077" t="s">
        <v>5418</v>
      </c>
      <c r="E108" s="1077" t="s">
        <v>5434</v>
      </c>
      <c r="F108" s="1185">
        <v>4</v>
      </c>
      <c r="G108" s="1186">
        <v>4.07</v>
      </c>
      <c r="H108" s="1186">
        <v>2.4700000000000002</v>
      </c>
      <c r="I108" s="1186">
        <v>5</v>
      </c>
      <c r="J108" s="1186">
        <v>2.63</v>
      </c>
      <c r="K108" s="1186">
        <v>5.01</v>
      </c>
      <c r="L108" s="1186">
        <v>3.08</v>
      </c>
      <c r="M108" s="1186">
        <v>5.5</v>
      </c>
      <c r="N108" s="1186">
        <v>4.6500000000000004</v>
      </c>
      <c r="O108" s="1186">
        <v>5.74</v>
      </c>
      <c r="P108" s="1186">
        <v>6.91</v>
      </c>
      <c r="Q108" s="1186">
        <v>4.25</v>
      </c>
      <c r="R108" s="1186">
        <v>1.89</v>
      </c>
      <c r="S108" s="1186">
        <v>5.5</v>
      </c>
      <c r="T108" s="1186">
        <v>2.67</v>
      </c>
      <c r="U108" s="1186">
        <v>5.72</v>
      </c>
      <c r="V108" s="1186">
        <v>3.38</v>
      </c>
      <c r="W108" s="1186"/>
      <c r="X108" s="1186"/>
      <c r="Y108" s="1186"/>
      <c r="Z108" s="1186"/>
      <c r="AA108" s="1186"/>
      <c r="AB108" s="1186"/>
      <c r="AC108" s="1186"/>
      <c r="AD108" s="1187"/>
      <c r="AH108" s="251">
        <v>69</v>
      </c>
      <c r="AI108" s="251" t="e">
        <f t="shared" si="13"/>
        <v>#N/A</v>
      </c>
      <c r="AJ108" s="251" t="e">
        <f t="shared" ca="1" si="16"/>
        <v>#N/A</v>
      </c>
      <c r="AL108" s="251">
        <f t="shared" ca="1" si="17"/>
        <v>1904</v>
      </c>
      <c r="AM108" s="251" t="e">
        <f t="shared" ca="1" si="12"/>
        <v>#N/A</v>
      </c>
      <c r="AN108" s="251" t="e">
        <f t="shared" ca="1" si="14"/>
        <v>#N/A</v>
      </c>
      <c r="AO108" s="251" t="e">
        <f t="shared" ca="1" si="15"/>
        <v>#N/A</v>
      </c>
    </row>
    <row r="109" spans="1:41" x14ac:dyDescent="0.2">
      <c r="A109">
        <f t="shared" si="11"/>
        <v>3</v>
      </c>
      <c r="B109">
        <v>100</v>
      </c>
      <c r="C109" s="1078">
        <v>2</v>
      </c>
      <c r="D109" s="1077" t="s">
        <v>5418</v>
      </c>
      <c r="E109" s="1077" t="s">
        <v>5435</v>
      </c>
      <c r="F109" s="1185">
        <v>4</v>
      </c>
      <c r="G109" s="1186">
        <v>5.0599999999999996</v>
      </c>
      <c r="H109" s="1186">
        <v>2.1800000000000002</v>
      </c>
      <c r="I109" s="1186">
        <v>5.7</v>
      </c>
      <c r="J109" s="1186">
        <v>2.68</v>
      </c>
      <c r="K109" s="1186">
        <v>5.56</v>
      </c>
      <c r="L109" s="1186">
        <v>3.46</v>
      </c>
      <c r="M109" s="1186">
        <v>7.5</v>
      </c>
      <c r="N109" s="1186">
        <v>4.43</v>
      </c>
      <c r="O109" s="1186">
        <v>7.89</v>
      </c>
      <c r="P109" s="1186">
        <v>6.12</v>
      </c>
      <c r="Q109" s="1186">
        <v>5.3</v>
      </c>
      <c r="R109" s="1186">
        <v>1.9</v>
      </c>
      <c r="S109" s="1186">
        <v>7</v>
      </c>
      <c r="T109" s="1186">
        <v>2.66</v>
      </c>
      <c r="U109" s="1186">
        <v>7.37</v>
      </c>
      <c r="V109" s="1186">
        <v>3.33</v>
      </c>
      <c r="W109" s="1186"/>
      <c r="X109" s="1186"/>
      <c r="Y109" s="1186"/>
      <c r="Z109" s="1186"/>
      <c r="AA109" s="1186"/>
      <c r="AB109" s="1186"/>
      <c r="AC109" s="1186"/>
      <c r="AD109" s="1187"/>
      <c r="AH109" s="251">
        <v>70</v>
      </c>
      <c r="AI109" s="251" t="e">
        <f t="shared" si="13"/>
        <v>#N/A</v>
      </c>
      <c r="AJ109" s="251" t="e">
        <f t="shared" ca="1" si="16"/>
        <v>#N/A</v>
      </c>
      <c r="AL109" s="251">
        <f t="shared" ca="1" si="17"/>
        <v>1905</v>
      </c>
      <c r="AM109" s="251" t="e">
        <f t="shared" ca="1" si="12"/>
        <v>#N/A</v>
      </c>
      <c r="AN109" s="251" t="e">
        <f t="shared" ca="1" si="14"/>
        <v>#N/A</v>
      </c>
      <c r="AO109" s="251" t="e">
        <f t="shared" ca="1" si="15"/>
        <v>#N/A</v>
      </c>
    </row>
    <row r="110" spans="1:41" x14ac:dyDescent="0.2">
      <c r="A110">
        <f t="shared" si="11"/>
        <v>3</v>
      </c>
      <c r="B110">
        <v>101</v>
      </c>
      <c r="C110" s="1078">
        <v>2</v>
      </c>
      <c r="D110" s="1077" t="s">
        <v>5418</v>
      </c>
      <c r="E110" s="1077" t="s">
        <v>5436</v>
      </c>
      <c r="F110" s="1185">
        <v>4</v>
      </c>
      <c r="G110" s="1186">
        <v>5.0599999999999996</v>
      </c>
      <c r="H110" s="1186">
        <v>2.1800000000000002</v>
      </c>
      <c r="I110" s="1186">
        <v>5.7</v>
      </c>
      <c r="J110" s="1186">
        <v>2.68</v>
      </c>
      <c r="K110" s="1186">
        <v>5.56</v>
      </c>
      <c r="L110" s="1186">
        <v>3.46</v>
      </c>
      <c r="M110" s="1186">
        <v>7.5</v>
      </c>
      <c r="N110" s="1186">
        <v>4.43</v>
      </c>
      <c r="O110" s="1186">
        <v>7.89</v>
      </c>
      <c r="P110" s="1186">
        <v>6.12</v>
      </c>
      <c r="Q110" s="1186">
        <v>5.3</v>
      </c>
      <c r="R110" s="1186">
        <v>1.9</v>
      </c>
      <c r="S110" s="1186">
        <v>7</v>
      </c>
      <c r="T110" s="1186">
        <v>2.66</v>
      </c>
      <c r="U110" s="1186">
        <v>7.37</v>
      </c>
      <c r="V110" s="1186">
        <v>3.33</v>
      </c>
      <c r="W110" s="1186"/>
      <c r="X110" s="1186"/>
      <c r="Y110" s="1186"/>
      <c r="Z110" s="1186"/>
      <c r="AA110" s="1186"/>
      <c r="AB110" s="1186"/>
      <c r="AC110" s="1186"/>
      <c r="AD110" s="1187"/>
      <c r="AH110" s="251">
        <v>71</v>
      </c>
      <c r="AI110" s="251" t="e">
        <f t="shared" si="13"/>
        <v>#N/A</v>
      </c>
      <c r="AJ110" s="251" t="e">
        <f t="shared" ca="1" si="16"/>
        <v>#N/A</v>
      </c>
      <c r="AL110" s="251">
        <f t="shared" ca="1" si="17"/>
        <v>1906</v>
      </c>
      <c r="AM110" s="251" t="e">
        <f t="shared" ca="1" si="12"/>
        <v>#N/A</v>
      </c>
      <c r="AN110" s="251" t="e">
        <f t="shared" ca="1" si="14"/>
        <v>#N/A</v>
      </c>
      <c r="AO110" s="251" t="e">
        <f t="shared" ca="1" si="15"/>
        <v>#N/A</v>
      </c>
    </row>
    <row r="111" spans="1:41" x14ac:dyDescent="0.2">
      <c r="A111">
        <f t="shared" si="11"/>
        <v>3</v>
      </c>
      <c r="B111">
        <v>102</v>
      </c>
      <c r="C111" s="1078">
        <v>2</v>
      </c>
      <c r="D111" s="1077" t="s">
        <v>5418</v>
      </c>
      <c r="E111" s="1077" t="s">
        <v>5437</v>
      </c>
      <c r="F111" s="1185">
        <v>4</v>
      </c>
      <c r="G111" s="1186">
        <v>11.47</v>
      </c>
      <c r="H111" s="1186">
        <v>2.2599999999999998</v>
      </c>
      <c r="I111" s="1186">
        <v>14.09</v>
      </c>
      <c r="J111" s="1186">
        <v>2.91</v>
      </c>
      <c r="K111" s="1186">
        <v>13.98</v>
      </c>
      <c r="L111" s="1186">
        <v>3.01</v>
      </c>
      <c r="M111" s="1186">
        <v>16.12</v>
      </c>
      <c r="N111" s="1186">
        <v>4.2699999999999996</v>
      </c>
      <c r="O111" s="1186">
        <v>17.61</v>
      </c>
      <c r="P111" s="1186">
        <v>5.13</v>
      </c>
      <c r="Q111" s="1186">
        <v>12.85</v>
      </c>
      <c r="R111" s="1186">
        <v>2.09</v>
      </c>
      <c r="S111" s="1186">
        <v>12.88</v>
      </c>
      <c r="T111" s="1186">
        <v>2.71</v>
      </c>
      <c r="U111" s="1186">
        <v>14.28</v>
      </c>
      <c r="V111" s="1186">
        <v>3.43</v>
      </c>
      <c r="W111" s="1186"/>
      <c r="X111" s="1186"/>
      <c r="Y111" s="1186"/>
      <c r="Z111" s="1186"/>
      <c r="AA111" s="1186"/>
      <c r="AB111" s="1186"/>
      <c r="AC111" s="1186"/>
      <c r="AD111" s="1187"/>
      <c r="AH111" s="251">
        <v>72</v>
      </c>
      <c r="AI111" s="251" t="e">
        <f t="shared" si="13"/>
        <v>#N/A</v>
      </c>
      <c r="AJ111" s="251" t="e">
        <f t="shared" ca="1" si="16"/>
        <v>#N/A</v>
      </c>
      <c r="AL111" s="251">
        <f t="shared" ca="1" si="17"/>
        <v>1907</v>
      </c>
      <c r="AM111" s="251" t="e">
        <f t="shared" ca="1" si="12"/>
        <v>#N/A</v>
      </c>
      <c r="AN111" s="251" t="e">
        <f t="shared" ca="1" si="14"/>
        <v>#N/A</v>
      </c>
      <c r="AO111" s="251" t="e">
        <f t="shared" ca="1" si="15"/>
        <v>#N/A</v>
      </c>
    </row>
    <row r="112" spans="1:41" x14ac:dyDescent="0.2">
      <c r="A112">
        <f t="shared" si="11"/>
        <v>3</v>
      </c>
      <c r="B112">
        <v>103</v>
      </c>
      <c r="C112" s="1078">
        <v>2</v>
      </c>
      <c r="D112" s="1077" t="s">
        <v>5418</v>
      </c>
      <c r="E112" s="1077" t="s">
        <v>5438</v>
      </c>
      <c r="F112" s="1185">
        <v>4</v>
      </c>
      <c r="G112" s="1186">
        <v>11.47</v>
      </c>
      <c r="H112" s="1186">
        <v>2.2599999999999998</v>
      </c>
      <c r="I112" s="1186">
        <v>14.09</v>
      </c>
      <c r="J112" s="1186">
        <v>2.91</v>
      </c>
      <c r="K112" s="1186">
        <v>13.98</v>
      </c>
      <c r="L112" s="1186">
        <v>3.01</v>
      </c>
      <c r="M112" s="1186">
        <v>16.12</v>
      </c>
      <c r="N112" s="1186">
        <v>4.2699999999999996</v>
      </c>
      <c r="O112" s="1186">
        <v>17.61</v>
      </c>
      <c r="P112" s="1186">
        <v>5.13</v>
      </c>
      <c r="Q112" s="1186">
        <v>12.85</v>
      </c>
      <c r="R112" s="1186">
        <v>2.09</v>
      </c>
      <c r="S112" s="1186">
        <v>12.88</v>
      </c>
      <c r="T112" s="1186">
        <v>2.71</v>
      </c>
      <c r="U112" s="1186">
        <v>14.28</v>
      </c>
      <c r="V112" s="1186">
        <v>3.43</v>
      </c>
      <c r="W112" s="1186"/>
      <c r="X112" s="1186"/>
      <c r="Y112" s="1186"/>
      <c r="Z112" s="1186"/>
      <c r="AA112" s="1186"/>
      <c r="AB112" s="1186"/>
      <c r="AC112" s="1186"/>
      <c r="AD112" s="1187"/>
      <c r="AH112" s="251">
        <v>73</v>
      </c>
      <c r="AI112" s="251" t="e">
        <f t="shared" si="13"/>
        <v>#N/A</v>
      </c>
      <c r="AJ112" s="251" t="e">
        <f t="shared" ca="1" si="16"/>
        <v>#N/A</v>
      </c>
      <c r="AL112" s="251">
        <f t="shared" ca="1" si="17"/>
        <v>1908</v>
      </c>
      <c r="AM112" s="251" t="e">
        <f t="shared" ca="1" si="12"/>
        <v>#N/A</v>
      </c>
      <c r="AN112" s="251" t="e">
        <f t="shared" ca="1" si="14"/>
        <v>#N/A</v>
      </c>
      <c r="AO112" s="251" t="e">
        <f t="shared" ca="1" si="15"/>
        <v>#N/A</v>
      </c>
    </row>
    <row r="113" spans="1:41" x14ac:dyDescent="0.2">
      <c r="A113">
        <f t="shared" si="11"/>
        <v>3</v>
      </c>
      <c r="B113">
        <v>104</v>
      </c>
      <c r="C113" s="1078">
        <v>2</v>
      </c>
      <c r="D113" s="1077" t="s">
        <v>5418</v>
      </c>
      <c r="E113" s="1077" t="s">
        <v>5439</v>
      </c>
      <c r="F113" s="1185">
        <v>4</v>
      </c>
      <c r="G113" s="1186">
        <v>12.86</v>
      </c>
      <c r="H113" s="1186">
        <v>2.25</v>
      </c>
      <c r="I113" s="1186">
        <v>16.36</v>
      </c>
      <c r="J113" s="1186">
        <v>2.88</v>
      </c>
      <c r="K113" s="1186">
        <v>16.25</v>
      </c>
      <c r="L113" s="1186">
        <v>3</v>
      </c>
      <c r="M113" s="1186">
        <v>18.29</v>
      </c>
      <c r="N113" s="1186">
        <v>4.26</v>
      </c>
      <c r="O113" s="1186">
        <v>19.77</v>
      </c>
      <c r="P113" s="1186">
        <v>5.14</v>
      </c>
      <c r="Q113" s="1186">
        <v>14.64</v>
      </c>
      <c r="R113" s="1186">
        <v>2.1</v>
      </c>
      <c r="S113" s="1186">
        <v>15.37</v>
      </c>
      <c r="T113" s="1186">
        <v>2.84</v>
      </c>
      <c r="U113" s="1186">
        <v>16.760000000000002</v>
      </c>
      <c r="V113" s="1186">
        <v>3.56</v>
      </c>
      <c r="W113" s="1186"/>
      <c r="X113" s="1186"/>
      <c r="Y113" s="1186"/>
      <c r="Z113" s="1186"/>
      <c r="AA113" s="1186"/>
      <c r="AB113" s="1186"/>
      <c r="AC113" s="1186"/>
      <c r="AD113" s="1187"/>
      <c r="AH113" s="251">
        <v>74</v>
      </c>
      <c r="AI113" s="251" t="e">
        <f t="shared" si="13"/>
        <v>#N/A</v>
      </c>
      <c r="AJ113" s="251" t="e">
        <f t="shared" ca="1" si="16"/>
        <v>#N/A</v>
      </c>
      <c r="AL113" s="251">
        <f t="shared" ca="1" si="17"/>
        <v>1909</v>
      </c>
      <c r="AM113" s="251" t="e">
        <f t="shared" ca="1" si="12"/>
        <v>#N/A</v>
      </c>
      <c r="AN113" s="251" t="e">
        <f t="shared" ca="1" si="14"/>
        <v>#N/A</v>
      </c>
      <c r="AO113" s="251" t="e">
        <f t="shared" ca="1" si="15"/>
        <v>#N/A</v>
      </c>
    </row>
    <row r="114" spans="1:41" x14ac:dyDescent="0.2">
      <c r="A114">
        <f t="shared" si="11"/>
        <v>3</v>
      </c>
      <c r="B114">
        <v>105</v>
      </c>
      <c r="C114" s="1078">
        <v>2</v>
      </c>
      <c r="D114" s="1077" t="s">
        <v>5418</v>
      </c>
      <c r="E114" s="1077" t="s">
        <v>5440</v>
      </c>
      <c r="F114" s="1185">
        <v>4</v>
      </c>
      <c r="G114" s="1186">
        <v>12.86</v>
      </c>
      <c r="H114" s="1186">
        <v>2.25</v>
      </c>
      <c r="I114" s="1186">
        <v>16.36</v>
      </c>
      <c r="J114" s="1186">
        <v>2.88</v>
      </c>
      <c r="K114" s="1186">
        <v>16.25</v>
      </c>
      <c r="L114" s="1186">
        <v>3</v>
      </c>
      <c r="M114" s="1186">
        <v>18.29</v>
      </c>
      <c r="N114" s="1186">
        <v>4.26</v>
      </c>
      <c r="O114" s="1186">
        <v>19.77</v>
      </c>
      <c r="P114" s="1186">
        <v>5.14</v>
      </c>
      <c r="Q114" s="1186">
        <v>14.64</v>
      </c>
      <c r="R114" s="1186">
        <v>2.1</v>
      </c>
      <c r="S114" s="1186">
        <v>15.37</v>
      </c>
      <c r="T114" s="1186">
        <v>2.84</v>
      </c>
      <c r="U114" s="1186">
        <v>16.760000000000002</v>
      </c>
      <c r="V114" s="1186">
        <v>3.56</v>
      </c>
      <c r="W114" s="1186"/>
      <c r="X114" s="1186"/>
      <c r="Y114" s="1186"/>
      <c r="Z114" s="1186"/>
      <c r="AA114" s="1186"/>
      <c r="AB114" s="1186"/>
      <c r="AC114" s="1186"/>
      <c r="AD114" s="1187"/>
      <c r="AH114" s="251">
        <v>75</v>
      </c>
      <c r="AI114" s="251" t="e">
        <f t="shared" si="13"/>
        <v>#N/A</v>
      </c>
      <c r="AJ114" s="251" t="e">
        <f t="shared" ca="1" si="16"/>
        <v>#N/A</v>
      </c>
      <c r="AL114" s="251">
        <f t="shared" ca="1" si="17"/>
        <v>1910</v>
      </c>
      <c r="AM114" s="251" t="e">
        <f t="shared" ca="1" si="12"/>
        <v>#N/A</v>
      </c>
      <c r="AN114" s="251" t="e">
        <f t="shared" ca="1" si="14"/>
        <v>#N/A</v>
      </c>
      <c r="AO114" s="251" t="e">
        <f t="shared" ca="1" si="15"/>
        <v>#N/A</v>
      </c>
    </row>
    <row r="115" spans="1:41" x14ac:dyDescent="0.2">
      <c r="A115">
        <f t="shared" si="11"/>
        <v>3</v>
      </c>
      <c r="B115">
        <v>106</v>
      </c>
      <c r="C115" s="1078">
        <v>2</v>
      </c>
      <c r="D115" s="1077" t="s">
        <v>5418</v>
      </c>
      <c r="E115" s="1077" t="s">
        <v>5441</v>
      </c>
      <c r="F115" s="1185">
        <v>4</v>
      </c>
      <c r="G115" s="1186">
        <v>7.14</v>
      </c>
      <c r="H115" s="1186">
        <v>2.62</v>
      </c>
      <c r="I115" s="1186">
        <v>8.4700000000000006</v>
      </c>
      <c r="J115" s="1186">
        <v>3</v>
      </c>
      <c r="K115" s="1186">
        <v>9.1</v>
      </c>
      <c r="L115" s="1186">
        <v>3.22</v>
      </c>
      <c r="M115" s="1186">
        <v>10</v>
      </c>
      <c r="N115" s="1186">
        <v>4.5199999999999996</v>
      </c>
      <c r="O115" s="1186">
        <v>10.53</v>
      </c>
      <c r="P115" s="1186">
        <v>5.01</v>
      </c>
      <c r="Q115" s="1186">
        <v>8.4600000000000009</v>
      </c>
      <c r="R115" s="1186">
        <v>2.17</v>
      </c>
      <c r="S115" s="1186">
        <v>9.2799999999999994</v>
      </c>
      <c r="T115" s="1186">
        <v>2.82</v>
      </c>
      <c r="U115" s="1186">
        <v>9.7799999999999994</v>
      </c>
      <c r="V115" s="1186">
        <v>2.93</v>
      </c>
      <c r="W115" s="1186"/>
      <c r="X115" s="1186"/>
      <c r="Y115" s="1186"/>
      <c r="Z115" s="1186"/>
      <c r="AA115" s="1186"/>
      <c r="AB115" s="1186"/>
      <c r="AC115" s="1186"/>
      <c r="AD115" s="1187"/>
      <c r="AH115" s="251">
        <v>76</v>
      </c>
      <c r="AI115" s="251" t="e">
        <f t="shared" si="13"/>
        <v>#N/A</v>
      </c>
      <c r="AJ115" s="251" t="e">
        <f t="shared" ca="1" si="16"/>
        <v>#N/A</v>
      </c>
      <c r="AL115" s="251">
        <f t="shared" ca="1" si="17"/>
        <v>1911</v>
      </c>
      <c r="AM115" s="251" t="e">
        <f t="shared" ca="1" si="12"/>
        <v>#N/A</v>
      </c>
      <c r="AN115" s="251" t="e">
        <f t="shared" ca="1" si="14"/>
        <v>#N/A</v>
      </c>
      <c r="AO115" s="251" t="e">
        <f t="shared" ca="1" si="15"/>
        <v>#N/A</v>
      </c>
    </row>
    <row r="116" spans="1:41" x14ac:dyDescent="0.2">
      <c r="A116">
        <f t="shared" si="11"/>
        <v>3</v>
      </c>
      <c r="B116">
        <v>107</v>
      </c>
      <c r="C116" s="1078">
        <v>2</v>
      </c>
      <c r="D116" s="1077" t="s">
        <v>5418</v>
      </c>
      <c r="E116" s="1077" t="s">
        <v>5442</v>
      </c>
      <c r="F116" s="1185">
        <v>4</v>
      </c>
      <c r="G116" s="1186">
        <v>10.029999999999999</v>
      </c>
      <c r="H116" s="1186">
        <v>2.65</v>
      </c>
      <c r="I116" s="1186">
        <v>10.86</v>
      </c>
      <c r="J116" s="1186">
        <v>2.79</v>
      </c>
      <c r="K116" s="1186">
        <v>12.2</v>
      </c>
      <c r="L116" s="1186">
        <v>3.19</v>
      </c>
      <c r="M116" s="1186">
        <v>12</v>
      </c>
      <c r="N116" s="1186">
        <v>4.76</v>
      </c>
      <c r="O116" s="1186">
        <v>12.41</v>
      </c>
      <c r="P116" s="1186">
        <v>5.37</v>
      </c>
      <c r="Q116" s="1186">
        <v>11.95</v>
      </c>
      <c r="R116" s="1186">
        <v>2.19</v>
      </c>
      <c r="S116" s="1186">
        <v>12.93</v>
      </c>
      <c r="T116" s="1186">
        <v>3</v>
      </c>
      <c r="U116" s="1186">
        <v>13.27</v>
      </c>
      <c r="V116" s="1186">
        <v>3.04</v>
      </c>
      <c r="W116" s="1186"/>
      <c r="X116" s="1186"/>
      <c r="Y116" s="1186"/>
      <c r="Z116" s="1186"/>
      <c r="AA116" s="1186"/>
      <c r="AB116" s="1186"/>
      <c r="AC116" s="1186"/>
      <c r="AD116" s="1187"/>
      <c r="AH116" s="251">
        <v>77</v>
      </c>
      <c r="AI116" s="251" t="e">
        <f t="shared" si="13"/>
        <v>#N/A</v>
      </c>
      <c r="AJ116" s="251" t="e">
        <f t="shared" ca="1" si="16"/>
        <v>#N/A</v>
      </c>
      <c r="AL116" s="251">
        <f t="shared" ca="1" si="17"/>
        <v>1912</v>
      </c>
      <c r="AM116" s="251" t="e">
        <f t="shared" ca="1" si="12"/>
        <v>#N/A</v>
      </c>
      <c r="AN116" s="251" t="e">
        <f t="shared" ca="1" si="14"/>
        <v>#N/A</v>
      </c>
      <c r="AO116" s="251" t="e">
        <f t="shared" ca="1" si="15"/>
        <v>#N/A</v>
      </c>
    </row>
    <row r="117" spans="1:41" x14ac:dyDescent="0.2">
      <c r="A117">
        <f t="shared" si="11"/>
        <v>3</v>
      </c>
      <c r="B117">
        <v>108</v>
      </c>
      <c r="C117" s="1078">
        <v>2</v>
      </c>
      <c r="D117" s="1077" t="s">
        <v>5418</v>
      </c>
      <c r="E117" s="1077" t="s">
        <v>5443</v>
      </c>
      <c r="F117" s="1185">
        <v>4</v>
      </c>
      <c r="G117" s="1186">
        <v>11.03</v>
      </c>
      <c r="H117" s="1186">
        <v>2.4</v>
      </c>
      <c r="I117" s="1186">
        <v>12.09</v>
      </c>
      <c r="J117" s="1186">
        <v>2.62</v>
      </c>
      <c r="K117" s="1186">
        <v>12.2</v>
      </c>
      <c r="L117" s="1186">
        <v>3.11</v>
      </c>
      <c r="M117" s="1186">
        <v>15.82</v>
      </c>
      <c r="N117" s="1186">
        <v>3.23</v>
      </c>
      <c r="O117" s="1186">
        <v>16.399999999999999</v>
      </c>
      <c r="P117" s="1186">
        <v>3.5</v>
      </c>
      <c r="Q117" s="1186">
        <v>13.64</v>
      </c>
      <c r="R117" s="1186">
        <v>2.0299999999999998</v>
      </c>
      <c r="S117" s="1186">
        <v>16.78</v>
      </c>
      <c r="T117" s="1186">
        <v>2.41</v>
      </c>
      <c r="U117" s="1186">
        <v>17.260000000000002</v>
      </c>
      <c r="V117" s="1186">
        <v>2.4500000000000002</v>
      </c>
      <c r="W117" s="1186"/>
      <c r="X117" s="1186"/>
      <c r="Y117" s="1186"/>
      <c r="Z117" s="1186"/>
      <c r="AA117" s="1186"/>
      <c r="AB117" s="1186"/>
      <c r="AC117" s="1186"/>
      <c r="AD117" s="1187"/>
      <c r="AH117" s="251">
        <v>78</v>
      </c>
      <c r="AI117" s="251" t="e">
        <f t="shared" si="13"/>
        <v>#N/A</v>
      </c>
      <c r="AJ117" s="251" t="e">
        <f t="shared" ca="1" si="16"/>
        <v>#N/A</v>
      </c>
      <c r="AL117" s="251">
        <f t="shared" ca="1" si="17"/>
        <v>1913</v>
      </c>
      <c r="AM117" s="251" t="e">
        <f t="shared" ca="1" si="12"/>
        <v>#N/A</v>
      </c>
      <c r="AN117" s="251" t="e">
        <f t="shared" ca="1" si="14"/>
        <v>#N/A</v>
      </c>
      <c r="AO117" s="251" t="e">
        <f t="shared" ca="1" si="15"/>
        <v>#N/A</v>
      </c>
    </row>
    <row r="118" spans="1:41" x14ac:dyDescent="0.2">
      <c r="A118">
        <f t="shared" si="11"/>
        <v>4</v>
      </c>
      <c r="B118">
        <v>109</v>
      </c>
      <c r="C118" s="1078">
        <v>2</v>
      </c>
      <c r="D118" s="1077" t="s">
        <v>5444</v>
      </c>
      <c r="E118" s="1077" t="s">
        <v>5445</v>
      </c>
      <c r="F118" s="1185">
        <v>4</v>
      </c>
      <c r="G118" s="1186">
        <v>5.19</v>
      </c>
      <c r="H118" s="1186">
        <v>2.63</v>
      </c>
      <c r="I118" s="1186">
        <v>6.32</v>
      </c>
      <c r="J118" s="1186">
        <v>2.99</v>
      </c>
      <c r="K118" s="1186">
        <v>5.85</v>
      </c>
      <c r="L118" s="1186">
        <v>3.56</v>
      </c>
      <c r="M118" s="1186">
        <v>8</v>
      </c>
      <c r="N118" s="1186">
        <v>4.6399999999999997</v>
      </c>
      <c r="O118" s="1186">
        <v>8.48</v>
      </c>
      <c r="P118" s="1186">
        <v>5.12</v>
      </c>
      <c r="Q118" s="1186">
        <v>6.21</v>
      </c>
      <c r="R118" s="1186">
        <v>2.08</v>
      </c>
      <c r="S118" s="1186">
        <v>6.94</v>
      </c>
      <c r="T118" s="1186">
        <v>2.88</v>
      </c>
      <c r="U118" s="1186">
        <v>7.41</v>
      </c>
      <c r="V118" s="1186">
        <v>3.03</v>
      </c>
      <c r="W118" s="1186"/>
      <c r="X118" s="1186"/>
      <c r="Y118" s="1186"/>
      <c r="Z118" s="1186"/>
      <c r="AA118" s="1186"/>
      <c r="AB118" s="1186"/>
      <c r="AC118" s="1186"/>
      <c r="AD118" s="1187"/>
      <c r="AH118" s="251">
        <v>79</v>
      </c>
      <c r="AI118" s="251" t="e">
        <f t="shared" si="13"/>
        <v>#N/A</v>
      </c>
      <c r="AJ118" s="251" t="e">
        <f t="shared" ca="1" si="16"/>
        <v>#N/A</v>
      </c>
      <c r="AL118" s="251">
        <f t="shared" ca="1" si="17"/>
        <v>1914</v>
      </c>
      <c r="AM118" s="251" t="e">
        <f t="shared" ca="1" si="12"/>
        <v>#N/A</v>
      </c>
      <c r="AN118" s="251" t="e">
        <f t="shared" ca="1" si="14"/>
        <v>#N/A</v>
      </c>
      <c r="AO118" s="251" t="e">
        <f t="shared" ca="1" si="15"/>
        <v>#N/A</v>
      </c>
    </row>
    <row r="119" spans="1:41" x14ac:dyDescent="0.2">
      <c r="A119">
        <f t="shared" si="11"/>
        <v>4</v>
      </c>
      <c r="B119">
        <v>110</v>
      </c>
      <c r="C119" s="1078">
        <v>2</v>
      </c>
      <c r="D119" s="1077" t="s">
        <v>5444</v>
      </c>
      <c r="E119" s="1077" t="s">
        <v>5446</v>
      </c>
      <c r="F119" s="1185">
        <v>4</v>
      </c>
      <c r="G119" s="1186">
        <v>7.14</v>
      </c>
      <c r="H119" s="1186">
        <v>2.62</v>
      </c>
      <c r="I119" s="1186">
        <v>8.4700000000000006</v>
      </c>
      <c r="J119" s="1186">
        <v>3</v>
      </c>
      <c r="K119" s="1186">
        <v>9.1</v>
      </c>
      <c r="L119" s="1186">
        <v>3.22</v>
      </c>
      <c r="M119" s="1186">
        <v>10</v>
      </c>
      <c r="N119" s="1186">
        <v>4.5199999999999996</v>
      </c>
      <c r="O119" s="1186">
        <v>10.53</v>
      </c>
      <c r="P119" s="1186">
        <v>5.01</v>
      </c>
      <c r="Q119" s="1186">
        <v>8.4600000000000009</v>
      </c>
      <c r="R119" s="1186">
        <v>2.17</v>
      </c>
      <c r="S119" s="1186">
        <v>9.2799999999999994</v>
      </c>
      <c r="T119" s="1186">
        <v>2.82</v>
      </c>
      <c r="U119" s="1186">
        <v>9.7799999999999994</v>
      </c>
      <c r="V119" s="1186">
        <v>2.93</v>
      </c>
      <c r="W119" s="1186"/>
      <c r="X119" s="1186"/>
      <c r="Y119" s="1186"/>
      <c r="Z119" s="1186"/>
      <c r="AA119" s="1186"/>
      <c r="AB119" s="1186"/>
      <c r="AC119" s="1186"/>
      <c r="AD119" s="1187"/>
      <c r="AH119" s="251">
        <v>80</v>
      </c>
      <c r="AI119" s="251" t="e">
        <f t="shared" si="13"/>
        <v>#N/A</v>
      </c>
      <c r="AJ119" s="251" t="e">
        <f t="shared" ca="1" si="16"/>
        <v>#N/A</v>
      </c>
      <c r="AL119" s="251">
        <f t="shared" ca="1" si="17"/>
        <v>1915</v>
      </c>
      <c r="AM119" s="251" t="e">
        <f t="shared" ca="1" si="12"/>
        <v>#N/A</v>
      </c>
      <c r="AN119" s="251" t="e">
        <f t="shared" ca="1" si="14"/>
        <v>#N/A</v>
      </c>
      <c r="AO119" s="251" t="e">
        <f t="shared" ca="1" si="15"/>
        <v>#N/A</v>
      </c>
    </row>
    <row r="120" spans="1:41" x14ac:dyDescent="0.2">
      <c r="A120">
        <f t="shared" si="11"/>
        <v>4</v>
      </c>
      <c r="B120">
        <v>111</v>
      </c>
      <c r="C120" s="1078">
        <v>2</v>
      </c>
      <c r="D120" s="1077" t="s">
        <v>5444</v>
      </c>
      <c r="E120" s="1077" t="s">
        <v>5447</v>
      </c>
      <c r="F120" s="1185">
        <v>4</v>
      </c>
      <c r="G120" s="1186">
        <v>10.029999999999999</v>
      </c>
      <c r="H120" s="1186">
        <v>2.65</v>
      </c>
      <c r="I120" s="1186">
        <v>10.86</v>
      </c>
      <c r="J120" s="1186">
        <v>2.79</v>
      </c>
      <c r="K120" s="1186">
        <v>10.89</v>
      </c>
      <c r="L120" s="1186">
        <v>4.07</v>
      </c>
      <c r="M120" s="1186">
        <v>12</v>
      </c>
      <c r="N120" s="1186">
        <v>4.76</v>
      </c>
      <c r="O120" s="1186">
        <v>12.41</v>
      </c>
      <c r="P120" s="1186">
        <v>5.37</v>
      </c>
      <c r="Q120" s="1186">
        <v>11.95</v>
      </c>
      <c r="R120" s="1186">
        <v>2.19</v>
      </c>
      <c r="S120" s="1186">
        <v>12.93</v>
      </c>
      <c r="T120" s="1186">
        <v>3</v>
      </c>
      <c r="U120" s="1186">
        <v>13.27</v>
      </c>
      <c r="V120" s="1186">
        <v>3.04</v>
      </c>
      <c r="W120" s="1186"/>
      <c r="X120" s="1186"/>
      <c r="Y120" s="1186"/>
      <c r="Z120" s="1186"/>
      <c r="AA120" s="1186"/>
      <c r="AB120" s="1186"/>
      <c r="AC120" s="1186"/>
      <c r="AD120" s="1187"/>
      <c r="AH120" s="251">
        <v>81</v>
      </c>
      <c r="AI120" s="251" t="e">
        <f t="shared" si="13"/>
        <v>#N/A</v>
      </c>
      <c r="AJ120" s="251" t="e">
        <f t="shared" ca="1" si="16"/>
        <v>#N/A</v>
      </c>
      <c r="AL120" s="251">
        <f t="shared" ca="1" si="17"/>
        <v>1916</v>
      </c>
      <c r="AM120" s="251" t="e">
        <f t="shared" ca="1" si="12"/>
        <v>#N/A</v>
      </c>
      <c r="AN120" s="251" t="e">
        <f t="shared" ca="1" si="14"/>
        <v>#N/A</v>
      </c>
      <c r="AO120" s="251" t="e">
        <f t="shared" ca="1" si="15"/>
        <v>#N/A</v>
      </c>
    </row>
    <row r="121" spans="1:41" x14ac:dyDescent="0.2">
      <c r="A121">
        <f t="shared" si="11"/>
        <v>4</v>
      </c>
      <c r="B121">
        <v>112</v>
      </c>
      <c r="C121" s="1078">
        <v>2</v>
      </c>
      <c r="D121" s="1077" t="s">
        <v>5444</v>
      </c>
      <c r="E121" s="1077" t="s">
        <v>5448</v>
      </c>
      <c r="F121" s="1185">
        <v>4</v>
      </c>
      <c r="G121" s="1186">
        <v>11.03</v>
      </c>
      <c r="H121" s="1186">
        <v>2.4</v>
      </c>
      <c r="I121" s="1186">
        <v>12.09</v>
      </c>
      <c r="J121" s="1186">
        <v>2.62</v>
      </c>
      <c r="K121" s="1186">
        <v>12.2</v>
      </c>
      <c r="L121" s="1186">
        <v>3.11</v>
      </c>
      <c r="M121" s="1186">
        <v>15.82</v>
      </c>
      <c r="N121" s="1186">
        <v>3.23</v>
      </c>
      <c r="O121" s="1186">
        <v>16.399999999999999</v>
      </c>
      <c r="P121" s="1186">
        <v>3.5</v>
      </c>
      <c r="Q121" s="1186">
        <v>13.64</v>
      </c>
      <c r="R121" s="1186">
        <v>2.0299999999999998</v>
      </c>
      <c r="S121" s="1186">
        <v>16.78</v>
      </c>
      <c r="T121" s="1186">
        <v>2.41</v>
      </c>
      <c r="U121" s="1186">
        <v>17.260000000000002</v>
      </c>
      <c r="V121" s="1186">
        <v>2.4500000000000002</v>
      </c>
      <c r="W121" s="1186"/>
      <c r="X121" s="1186"/>
      <c r="Y121" s="1186"/>
      <c r="Z121" s="1186"/>
      <c r="AA121" s="1186"/>
      <c r="AB121" s="1186"/>
      <c r="AC121" s="1186"/>
      <c r="AD121" s="1187"/>
      <c r="AH121" s="251">
        <v>82</v>
      </c>
      <c r="AI121" s="251" t="e">
        <f t="shared" si="13"/>
        <v>#N/A</v>
      </c>
      <c r="AJ121" s="251" t="e">
        <f t="shared" ca="1" si="16"/>
        <v>#N/A</v>
      </c>
      <c r="AL121" s="251">
        <f t="shared" ca="1" si="17"/>
        <v>1917</v>
      </c>
      <c r="AM121" s="251" t="e">
        <f t="shared" ca="1" si="12"/>
        <v>#N/A</v>
      </c>
      <c r="AN121" s="251" t="e">
        <f t="shared" ca="1" si="14"/>
        <v>#N/A</v>
      </c>
      <c r="AO121" s="251" t="e">
        <f t="shared" ca="1" si="15"/>
        <v>#N/A</v>
      </c>
    </row>
    <row r="122" spans="1:41" x14ac:dyDescent="0.2">
      <c r="A122">
        <f t="shared" si="11"/>
        <v>5</v>
      </c>
      <c r="B122">
        <v>113</v>
      </c>
      <c r="C122" s="1078">
        <v>2</v>
      </c>
      <c r="D122" s="1077" t="s">
        <v>3911</v>
      </c>
      <c r="E122" s="1077" t="s">
        <v>3979</v>
      </c>
      <c r="F122" s="1185"/>
      <c r="G122" s="1186"/>
      <c r="H122" s="1186"/>
      <c r="I122" s="1186">
        <v>4.7</v>
      </c>
      <c r="J122" s="1186">
        <v>2.7</v>
      </c>
      <c r="K122" s="1186">
        <v>2.9</v>
      </c>
      <c r="L122" s="1186">
        <v>3.4</v>
      </c>
      <c r="M122" s="1186">
        <v>4.7</v>
      </c>
      <c r="N122" s="1186">
        <v>4.5</v>
      </c>
      <c r="O122" s="1186"/>
      <c r="P122" s="1186"/>
      <c r="Q122" s="1186">
        <v>3.7</v>
      </c>
      <c r="R122" s="1186">
        <v>1.7</v>
      </c>
      <c r="S122" s="1186">
        <v>4.5</v>
      </c>
      <c r="T122" s="1186">
        <v>2.5</v>
      </c>
      <c r="U122" s="1186"/>
      <c r="V122" s="1186"/>
      <c r="W122" s="1186"/>
      <c r="X122" s="1186"/>
      <c r="Y122" s="1186"/>
      <c r="Z122" s="1186"/>
      <c r="AA122" s="1186"/>
      <c r="AB122" s="1186"/>
      <c r="AC122" s="1186"/>
      <c r="AD122" s="1187"/>
      <c r="AH122" s="251">
        <v>83</v>
      </c>
      <c r="AI122" s="251" t="e">
        <f t="shared" si="13"/>
        <v>#N/A</v>
      </c>
      <c r="AJ122" s="251" t="e">
        <f t="shared" ca="1" si="16"/>
        <v>#N/A</v>
      </c>
      <c r="AL122" s="251">
        <f t="shared" ca="1" si="17"/>
        <v>1918</v>
      </c>
      <c r="AM122" s="251" t="e">
        <f t="shared" ca="1" si="12"/>
        <v>#N/A</v>
      </c>
      <c r="AN122" s="251" t="e">
        <f t="shared" ca="1" si="14"/>
        <v>#N/A</v>
      </c>
      <c r="AO122" s="251" t="e">
        <f t="shared" ca="1" si="15"/>
        <v>#N/A</v>
      </c>
    </row>
    <row r="123" spans="1:41" x14ac:dyDescent="0.2">
      <c r="A123">
        <f t="shared" si="11"/>
        <v>5</v>
      </c>
      <c r="B123">
        <v>114</v>
      </c>
      <c r="C123" s="1078">
        <v>2</v>
      </c>
      <c r="D123" s="1077" t="s">
        <v>3911</v>
      </c>
      <c r="E123" s="1077" t="s">
        <v>3980</v>
      </c>
      <c r="F123" s="1185"/>
      <c r="G123" s="1186"/>
      <c r="H123" s="1186"/>
      <c r="I123" s="1186">
        <v>5</v>
      </c>
      <c r="J123" s="1186">
        <v>2.7</v>
      </c>
      <c r="K123" s="1186">
        <v>2.9</v>
      </c>
      <c r="L123" s="1186">
        <v>3.4</v>
      </c>
      <c r="M123" s="1186">
        <v>6</v>
      </c>
      <c r="N123" s="1186">
        <v>4.2</v>
      </c>
      <c r="O123" s="1186"/>
      <c r="P123" s="1186"/>
      <c r="Q123" s="1186">
        <v>3.8</v>
      </c>
      <c r="R123" s="1186">
        <v>1.6</v>
      </c>
      <c r="S123" s="1186">
        <v>4.5</v>
      </c>
      <c r="T123" s="1186">
        <v>2.5</v>
      </c>
      <c r="U123" s="1186"/>
      <c r="V123" s="1186"/>
      <c r="W123" s="1186"/>
      <c r="X123" s="1186"/>
      <c r="Y123" s="1186"/>
      <c r="Z123" s="1186"/>
      <c r="AA123" s="1186"/>
      <c r="AB123" s="1186"/>
      <c r="AC123" s="1186"/>
      <c r="AD123" s="1187"/>
      <c r="AH123" s="251">
        <v>84</v>
      </c>
      <c r="AI123" s="251" t="e">
        <f t="shared" si="13"/>
        <v>#N/A</v>
      </c>
      <c r="AJ123" s="251" t="e">
        <f t="shared" ca="1" si="16"/>
        <v>#N/A</v>
      </c>
      <c r="AL123" s="251">
        <f t="shared" ca="1" si="17"/>
        <v>1919</v>
      </c>
      <c r="AM123" s="251" t="e">
        <f t="shared" ca="1" si="12"/>
        <v>#N/A</v>
      </c>
      <c r="AN123" s="251" t="e">
        <f t="shared" ca="1" si="14"/>
        <v>#N/A</v>
      </c>
      <c r="AO123" s="251" t="e">
        <f t="shared" ca="1" si="15"/>
        <v>#N/A</v>
      </c>
    </row>
    <row r="124" spans="1:41" x14ac:dyDescent="0.2">
      <c r="A124">
        <f t="shared" si="11"/>
        <v>5</v>
      </c>
      <c r="B124">
        <v>115</v>
      </c>
      <c r="C124" s="1078">
        <v>2</v>
      </c>
      <c r="D124" s="1077" t="s">
        <v>3911</v>
      </c>
      <c r="E124" s="1077" t="s">
        <v>3981</v>
      </c>
      <c r="F124" s="1185"/>
      <c r="G124" s="1186"/>
      <c r="H124" s="1186"/>
      <c r="I124" s="1186">
        <v>4.7</v>
      </c>
      <c r="J124" s="1186">
        <v>2.7</v>
      </c>
      <c r="K124" s="1186">
        <v>2.9</v>
      </c>
      <c r="L124" s="1186">
        <v>3.4</v>
      </c>
      <c r="M124" s="1186">
        <v>6</v>
      </c>
      <c r="N124" s="1186">
        <v>4.2</v>
      </c>
      <c r="O124" s="1186"/>
      <c r="P124" s="1186"/>
      <c r="Q124" s="1186">
        <v>3.9</v>
      </c>
      <c r="R124" s="1186">
        <v>1.7</v>
      </c>
      <c r="S124" s="1186">
        <v>4.5</v>
      </c>
      <c r="T124" s="1186">
        <v>2.5</v>
      </c>
      <c r="U124" s="1186"/>
      <c r="V124" s="1186"/>
      <c r="W124" s="1186"/>
      <c r="X124" s="1186"/>
      <c r="Y124" s="1186"/>
      <c r="Z124" s="1186"/>
      <c r="AA124" s="1186"/>
      <c r="AB124" s="1186"/>
      <c r="AC124" s="1186"/>
      <c r="AD124" s="1187"/>
      <c r="AH124" s="251">
        <v>85</v>
      </c>
      <c r="AI124" s="251" t="e">
        <f t="shared" si="13"/>
        <v>#N/A</v>
      </c>
      <c r="AJ124" s="251" t="e">
        <f t="shared" ca="1" si="16"/>
        <v>#N/A</v>
      </c>
      <c r="AL124" s="251">
        <f t="shared" ca="1" si="17"/>
        <v>1920</v>
      </c>
      <c r="AM124" s="251" t="e">
        <f t="shared" ca="1" si="12"/>
        <v>#N/A</v>
      </c>
      <c r="AN124" s="251" t="e">
        <f t="shared" ca="1" si="14"/>
        <v>#N/A</v>
      </c>
      <c r="AO124" s="251" t="e">
        <f t="shared" ca="1" si="15"/>
        <v>#N/A</v>
      </c>
    </row>
    <row r="125" spans="1:41" x14ac:dyDescent="0.2">
      <c r="A125">
        <f t="shared" si="11"/>
        <v>5</v>
      </c>
      <c r="B125">
        <v>116</v>
      </c>
      <c r="C125" s="1078">
        <v>2</v>
      </c>
      <c r="D125" s="1077" t="s">
        <v>3911</v>
      </c>
      <c r="E125" s="1077" t="s">
        <v>3982</v>
      </c>
      <c r="F125" s="1185"/>
      <c r="G125" s="1186"/>
      <c r="H125" s="1186"/>
      <c r="I125" s="1186">
        <v>4.7</v>
      </c>
      <c r="J125" s="1186">
        <v>2.7</v>
      </c>
      <c r="K125" s="1186">
        <v>2.9</v>
      </c>
      <c r="L125" s="1186">
        <v>3.4</v>
      </c>
      <c r="M125" s="1186">
        <v>4.7</v>
      </c>
      <c r="N125" s="1186">
        <v>4.5</v>
      </c>
      <c r="O125" s="1186"/>
      <c r="P125" s="1186"/>
      <c r="Q125" s="1186">
        <v>3.7</v>
      </c>
      <c r="R125" s="1186">
        <v>1.7</v>
      </c>
      <c r="S125" s="1186">
        <v>4.5</v>
      </c>
      <c r="T125" s="1186">
        <v>2.5</v>
      </c>
      <c r="U125" s="1186"/>
      <c r="V125" s="1186"/>
      <c r="W125" s="1186"/>
      <c r="X125" s="1186"/>
      <c r="Y125" s="1186"/>
      <c r="Z125" s="1186"/>
      <c r="AA125" s="1186"/>
      <c r="AB125" s="1186"/>
      <c r="AC125" s="1186"/>
      <c r="AD125" s="1187"/>
      <c r="AH125" s="251">
        <v>86</v>
      </c>
      <c r="AI125" s="251" t="e">
        <f t="shared" si="13"/>
        <v>#N/A</v>
      </c>
      <c r="AJ125" s="251" t="e">
        <f t="shared" ca="1" si="16"/>
        <v>#N/A</v>
      </c>
      <c r="AL125" s="251">
        <f t="shared" ca="1" si="17"/>
        <v>1921</v>
      </c>
      <c r="AM125" s="251" t="e">
        <f t="shared" ca="1" si="12"/>
        <v>#N/A</v>
      </c>
      <c r="AN125" s="251" t="e">
        <f t="shared" ca="1" si="14"/>
        <v>#N/A</v>
      </c>
      <c r="AO125" s="251" t="e">
        <f t="shared" ca="1" si="15"/>
        <v>#N/A</v>
      </c>
    </row>
    <row r="126" spans="1:41" x14ac:dyDescent="0.2">
      <c r="A126">
        <f t="shared" si="11"/>
        <v>5</v>
      </c>
      <c r="B126">
        <v>117</v>
      </c>
      <c r="C126" s="1078">
        <v>2</v>
      </c>
      <c r="D126" s="1077" t="s">
        <v>3911</v>
      </c>
      <c r="E126" s="1077" t="s">
        <v>3983</v>
      </c>
      <c r="F126" s="1185"/>
      <c r="G126" s="1186"/>
      <c r="H126" s="1186"/>
      <c r="I126" s="1186">
        <v>6.6</v>
      </c>
      <c r="J126" s="1186">
        <v>2.4</v>
      </c>
      <c r="K126" s="1186">
        <v>6.5</v>
      </c>
      <c r="L126" s="1186">
        <v>3.2</v>
      </c>
      <c r="M126" s="1186">
        <v>7.7</v>
      </c>
      <c r="N126" s="1186">
        <v>4.2</v>
      </c>
      <c r="O126" s="1186"/>
      <c r="P126" s="1186"/>
      <c r="Q126" s="1186">
        <v>5</v>
      </c>
      <c r="R126" s="1186">
        <v>1.6</v>
      </c>
      <c r="S126" s="1186">
        <v>5</v>
      </c>
      <c r="T126" s="1186">
        <v>2.6</v>
      </c>
      <c r="U126" s="1186"/>
      <c r="V126" s="1186"/>
      <c r="W126" s="1186"/>
      <c r="X126" s="1186"/>
      <c r="Y126" s="1186"/>
      <c r="Z126" s="1186"/>
      <c r="AA126" s="1186"/>
      <c r="AB126" s="1186"/>
      <c r="AC126" s="1186"/>
      <c r="AD126" s="1187"/>
      <c r="AH126" s="251">
        <v>87</v>
      </c>
      <c r="AI126" s="251" t="e">
        <f t="shared" si="13"/>
        <v>#N/A</v>
      </c>
      <c r="AJ126" s="251" t="e">
        <f t="shared" ca="1" si="16"/>
        <v>#N/A</v>
      </c>
      <c r="AL126" s="251">
        <f t="shared" ca="1" si="17"/>
        <v>1922</v>
      </c>
      <c r="AM126" s="251" t="e">
        <f t="shared" ca="1" si="12"/>
        <v>#N/A</v>
      </c>
      <c r="AN126" s="251" t="e">
        <f t="shared" ca="1" si="14"/>
        <v>#N/A</v>
      </c>
      <c r="AO126" s="251" t="e">
        <f t="shared" ca="1" si="15"/>
        <v>#N/A</v>
      </c>
    </row>
    <row r="127" spans="1:41" x14ac:dyDescent="0.2">
      <c r="A127">
        <f t="shared" si="11"/>
        <v>5</v>
      </c>
      <c r="B127">
        <v>118</v>
      </c>
      <c r="C127" s="1078">
        <v>2</v>
      </c>
      <c r="D127" s="1077" t="s">
        <v>3911</v>
      </c>
      <c r="E127" s="1077" t="s">
        <v>3984</v>
      </c>
      <c r="F127" s="1185"/>
      <c r="G127" s="1186"/>
      <c r="H127" s="1186"/>
      <c r="I127" s="1186">
        <v>6.6</v>
      </c>
      <c r="J127" s="1186">
        <v>2.4</v>
      </c>
      <c r="K127" s="1186">
        <v>6.5</v>
      </c>
      <c r="L127" s="1186">
        <v>3.1</v>
      </c>
      <c r="M127" s="1186">
        <v>7.7</v>
      </c>
      <c r="N127" s="1186">
        <v>4.0999999999999996</v>
      </c>
      <c r="O127" s="1186"/>
      <c r="P127" s="1186"/>
      <c r="Q127" s="1186">
        <v>5</v>
      </c>
      <c r="R127" s="1186">
        <v>1.6</v>
      </c>
      <c r="S127" s="1186">
        <v>5</v>
      </c>
      <c r="T127" s="1186">
        <v>2.6</v>
      </c>
      <c r="U127" s="1186"/>
      <c r="V127" s="1186"/>
      <c r="W127" s="1186"/>
      <c r="X127" s="1186"/>
      <c r="Y127" s="1186"/>
      <c r="Z127" s="1186"/>
      <c r="AA127" s="1186"/>
      <c r="AB127" s="1186"/>
      <c r="AC127" s="1186"/>
      <c r="AD127" s="1187"/>
      <c r="AH127" s="251">
        <v>88</v>
      </c>
      <c r="AI127" s="251" t="e">
        <f t="shared" si="13"/>
        <v>#N/A</v>
      </c>
      <c r="AJ127" s="251" t="e">
        <f t="shared" ca="1" si="16"/>
        <v>#N/A</v>
      </c>
      <c r="AL127" s="251">
        <f t="shared" ca="1" si="17"/>
        <v>1923</v>
      </c>
      <c r="AM127" s="251" t="e">
        <f t="shared" ca="1" si="12"/>
        <v>#N/A</v>
      </c>
      <c r="AN127" s="251" t="e">
        <f t="shared" ca="1" si="14"/>
        <v>#N/A</v>
      </c>
      <c r="AO127" s="251" t="e">
        <f t="shared" ca="1" si="15"/>
        <v>#N/A</v>
      </c>
    </row>
    <row r="128" spans="1:41" x14ac:dyDescent="0.2">
      <c r="A128">
        <f t="shared" si="11"/>
        <v>5</v>
      </c>
      <c r="B128">
        <v>119</v>
      </c>
      <c r="C128" s="1078">
        <v>2</v>
      </c>
      <c r="D128" s="1077" t="s">
        <v>3911</v>
      </c>
      <c r="E128" s="1077" t="s">
        <v>3985</v>
      </c>
      <c r="F128" s="1185"/>
      <c r="G128" s="1186"/>
      <c r="H128" s="1186"/>
      <c r="I128" s="1186">
        <v>13</v>
      </c>
      <c r="J128" s="1186">
        <v>2.4</v>
      </c>
      <c r="K128" s="1186">
        <v>7.7</v>
      </c>
      <c r="L128" s="1186">
        <v>3.1</v>
      </c>
      <c r="M128" s="1186">
        <v>15.2</v>
      </c>
      <c r="N128" s="1186">
        <v>4.0999999999999996</v>
      </c>
      <c r="O128" s="1186"/>
      <c r="P128" s="1186"/>
      <c r="Q128" s="1186">
        <v>12</v>
      </c>
      <c r="R128" s="1186">
        <v>1.7</v>
      </c>
      <c r="S128" s="1186">
        <v>12.7</v>
      </c>
      <c r="T128" s="1186">
        <v>2.5</v>
      </c>
      <c r="U128" s="1186"/>
      <c r="V128" s="1186"/>
      <c r="W128" s="1186"/>
      <c r="X128" s="1186"/>
      <c r="Y128" s="1186"/>
      <c r="Z128" s="1186"/>
      <c r="AA128" s="1186"/>
      <c r="AB128" s="1186"/>
      <c r="AC128" s="1186"/>
      <c r="AD128" s="1187"/>
      <c r="AH128" s="251">
        <v>89</v>
      </c>
      <c r="AI128" s="251" t="e">
        <f t="shared" si="13"/>
        <v>#N/A</v>
      </c>
      <c r="AJ128" s="251" t="e">
        <f t="shared" ca="1" si="16"/>
        <v>#N/A</v>
      </c>
      <c r="AL128" s="251">
        <f t="shared" ca="1" si="17"/>
        <v>1924</v>
      </c>
      <c r="AM128" s="251" t="e">
        <f t="shared" ca="1" si="12"/>
        <v>#N/A</v>
      </c>
      <c r="AN128" s="251" t="e">
        <f t="shared" ca="1" si="14"/>
        <v>#N/A</v>
      </c>
      <c r="AO128" s="251" t="e">
        <f t="shared" ca="1" si="15"/>
        <v>#N/A</v>
      </c>
    </row>
    <row r="129" spans="1:41" x14ac:dyDescent="0.2">
      <c r="A129">
        <f t="shared" si="11"/>
        <v>5</v>
      </c>
      <c r="B129">
        <v>120</v>
      </c>
      <c r="C129" s="1078">
        <v>2</v>
      </c>
      <c r="D129" s="1077" t="s">
        <v>3911</v>
      </c>
      <c r="E129" s="1077" t="s">
        <v>3986</v>
      </c>
      <c r="F129" s="1185"/>
      <c r="G129" s="1186"/>
      <c r="H129" s="1186"/>
      <c r="I129" s="1186">
        <v>10.4</v>
      </c>
      <c r="J129" s="1186">
        <v>2.4</v>
      </c>
      <c r="K129" s="1186">
        <v>7.8</v>
      </c>
      <c r="L129" s="1186">
        <v>3.1</v>
      </c>
      <c r="M129" s="1186">
        <v>10.8</v>
      </c>
      <c r="N129" s="1186">
        <v>4.3</v>
      </c>
      <c r="O129" s="1186"/>
      <c r="P129" s="1186"/>
      <c r="Q129" s="1186">
        <v>9.3000000000000007</v>
      </c>
      <c r="R129" s="1186">
        <v>1.8</v>
      </c>
      <c r="S129" s="1186">
        <v>9.3000000000000007</v>
      </c>
      <c r="T129" s="1186">
        <v>2.6</v>
      </c>
      <c r="U129" s="1186"/>
      <c r="V129" s="1186"/>
      <c r="W129" s="1186"/>
      <c r="X129" s="1186"/>
      <c r="Y129" s="1186"/>
      <c r="Z129" s="1186"/>
      <c r="AA129" s="1186"/>
      <c r="AB129" s="1186"/>
      <c r="AC129" s="1186"/>
      <c r="AD129" s="1187"/>
      <c r="AH129" s="251">
        <v>90</v>
      </c>
      <c r="AI129" s="251" t="e">
        <f t="shared" si="13"/>
        <v>#N/A</v>
      </c>
      <c r="AJ129" s="251" t="e">
        <f t="shared" ca="1" si="16"/>
        <v>#N/A</v>
      </c>
      <c r="AL129" s="251">
        <f t="shared" ca="1" si="17"/>
        <v>1925</v>
      </c>
      <c r="AM129" s="251" t="e">
        <f t="shared" ca="1" si="12"/>
        <v>#N/A</v>
      </c>
      <c r="AN129" s="251" t="e">
        <f t="shared" ca="1" si="14"/>
        <v>#N/A</v>
      </c>
      <c r="AO129" s="251" t="e">
        <f t="shared" ca="1" si="15"/>
        <v>#N/A</v>
      </c>
    </row>
    <row r="130" spans="1:41" x14ac:dyDescent="0.2">
      <c r="A130">
        <f t="shared" si="11"/>
        <v>5</v>
      </c>
      <c r="B130">
        <v>121</v>
      </c>
      <c r="C130" s="1081">
        <v>2</v>
      </c>
      <c r="D130" s="1082" t="s">
        <v>3911</v>
      </c>
      <c r="E130" s="1082" t="s">
        <v>3987</v>
      </c>
      <c r="F130" s="1188"/>
      <c r="G130" s="1189"/>
      <c r="H130" s="1189"/>
      <c r="I130" s="1189">
        <v>12.2</v>
      </c>
      <c r="J130" s="1189">
        <v>2.4</v>
      </c>
      <c r="K130" s="1189">
        <v>7.8</v>
      </c>
      <c r="L130" s="1189">
        <v>3.1</v>
      </c>
      <c r="M130" s="1189">
        <v>13</v>
      </c>
      <c r="N130" s="1189">
        <v>4.2</v>
      </c>
      <c r="O130" s="1189"/>
      <c r="P130" s="1189"/>
      <c r="Q130" s="1189">
        <v>10.1</v>
      </c>
      <c r="R130" s="1189">
        <v>1.8</v>
      </c>
      <c r="S130" s="1189">
        <v>10.6</v>
      </c>
      <c r="T130" s="1189">
        <v>2.4</v>
      </c>
      <c r="U130" s="1189"/>
      <c r="V130" s="1189"/>
      <c r="W130" s="1189"/>
      <c r="X130" s="1189"/>
      <c r="Y130" s="1189"/>
      <c r="Z130" s="1189"/>
      <c r="AA130" s="1189"/>
      <c r="AB130" s="1189"/>
      <c r="AC130" s="1189"/>
      <c r="AD130" s="1194"/>
      <c r="AH130" s="251">
        <v>91</v>
      </c>
      <c r="AI130" s="251" t="e">
        <f t="shared" si="13"/>
        <v>#N/A</v>
      </c>
      <c r="AJ130" s="251" t="e">
        <f t="shared" ca="1" si="16"/>
        <v>#N/A</v>
      </c>
      <c r="AL130" s="251">
        <f t="shared" ca="1" si="17"/>
        <v>1926</v>
      </c>
      <c r="AM130" s="251" t="e">
        <f t="shared" ca="1" si="12"/>
        <v>#N/A</v>
      </c>
      <c r="AN130" s="251" t="e">
        <f t="shared" ca="1" si="14"/>
        <v>#N/A</v>
      </c>
      <c r="AO130" s="251" t="e">
        <f t="shared" ca="1" si="15"/>
        <v>#N/A</v>
      </c>
    </row>
    <row r="131" spans="1:41" x14ac:dyDescent="0.2">
      <c r="A131">
        <f t="shared" si="11"/>
        <v>5</v>
      </c>
      <c r="B131">
        <v>122</v>
      </c>
      <c r="C131" s="1190">
        <v>2</v>
      </c>
      <c r="D131" s="1191" t="s">
        <v>3911</v>
      </c>
      <c r="E131" s="1191" t="s">
        <v>3988</v>
      </c>
      <c r="F131" s="1192"/>
      <c r="G131" s="1193"/>
      <c r="H131" s="1193"/>
      <c r="I131" s="1193">
        <v>10.4</v>
      </c>
      <c r="J131" s="1193">
        <v>2.4</v>
      </c>
      <c r="K131" s="1193">
        <v>7.8</v>
      </c>
      <c r="L131" s="1193">
        <v>3.1</v>
      </c>
      <c r="M131" s="1193">
        <v>10.8</v>
      </c>
      <c r="N131" s="1193">
        <v>4.3</v>
      </c>
      <c r="O131" s="1193"/>
      <c r="P131" s="1193"/>
      <c r="Q131" s="1193">
        <v>9.3000000000000007</v>
      </c>
      <c r="R131" s="1193">
        <v>1.8</v>
      </c>
      <c r="S131" s="1193">
        <v>9.3000000000000007</v>
      </c>
      <c r="T131" s="1193">
        <v>2.6</v>
      </c>
      <c r="U131" s="1193"/>
      <c r="V131" s="1193"/>
      <c r="W131" s="1193"/>
      <c r="X131" s="1193"/>
      <c r="Y131" s="1193"/>
      <c r="Z131" s="1193"/>
      <c r="AA131" s="1193"/>
      <c r="AB131" s="1193"/>
      <c r="AC131" s="1193"/>
      <c r="AD131" s="1195"/>
      <c r="AH131" s="251">
        <v>92</v>
      </c>
      <c r="AI131" s="251" t="e">
        <f t="shared" si="13"/>
        <v>#N/A</v>
      </c>
      <c r="AJ131" s="251" t="e">
        <f t="shared" ca="1" si="16"/>
        <v>#N/A</v>
      </c>
      <c r="AL131" s="251">
        <f t="shared" ca="1" si="17"/>
        <v>1927</v>
      </c>
      <c r="AM131" s="251" t="e">
        <f t="shared" ca="1" si="12"/>
        <v>#N/A</v>
      </c>
      <c r="AN131" s="251" t="e">
        <f t="shared" ca="1" si="14"/>
        <v>#N/A</v>
      </c>
      <c r="AO131" s="251" t="e">
        <f t="shared" ca="1" si="15"/>
        <v>#N/A</v>
      </c>
    </row>
    <row r="132" spans="1:41" x14ac:dyDescent="0.2">
      <c r="A132">
        <f t="shared" si="11"/>
        <v>5</v>
      </c>
      <c r="B132">
        <v>123</v>
      </c>
      <c r="C132" s="1078">
        <v>2</v>
      </c>
      <c r="D132" s="1077" t="s">
        <v>3911</v>
      </c>
      <c r="E132" s="1077" t="s">
        <v>3989</v>
      </c>
      <c r="F132" s="1185"/>
      <c r="G132" s="1186"/>
      <c r="H132" s="1186"/>
      <c r="I132" s="1186">
        <v>12.2</v>
      </c>
      <c r="J132" s="1186">
        <v>2.4</v>
      </c>
      <c r="K132" s="1186">
        <v>7.8</v>
      </c>
      <c r="L132" s="1186">
        <v>3.1</v>
      </c>
      <c r="M132" s="1186">
        <v>13</v>
      </c>
      <c r="N132" s="1186">
        <v>4.2</v>
      </c>
      <c r="O132" s="1186"/>
      <c r="P132" s="1186"/>
      <c r="Q132" s="1186">
        <v>10</v>
      </c>
      <c r="R132" s="1186">
        <v>1.8</v>
      </c>
      <c r="S132" s="1186">
        <v>10.6</v>
      </c>
      <c r="T132" s="1186">
        <v>2.4</v>
      </c>
      <c r="U132" s="1186"/>
      <c r="V132" s="1186"/>
      <c r="W132" s="1186"/>
      <c r="X132" s="1186"/>
      <c r="Y132" s="1186"/>
      <c r="Z132" s="1186"/>
      <c r="AA132" s="1186"/>
      <c r="AB132" s="1186"/>
      <c r="AC132" s="1186"/>
      <c r="AD132" s="1187"/>
      <c r="AH132" s="251">
        <v>93</v>
      </c>
      <c r="AI132" s="251" t="e">
        <f t="shared" si="13"/>
        <v>#N/A</v>
      </c>
      <c r="AJ132" s="251" t="e">
        <f t="shared" ca="1" si="16"/>
        <v>#N/A</v>
      </c>
      <c r="AL132" s="251">
        <f t="shared" ca="1" si="17"/>
        <v>1928</v>
      </c>
      <c r="AM132" s="251" t="e">
        <f t="shared" ca="1" si="12"/>
        <v>#N/A</v>
      </c>
      <c r="AN132" s="251" t="e">
        <f t="shared" ca="1" si="14"/>
        <v>#N/A</v>
      </c>
      <c r="AO132" s="251" t="e">
        <f t="shared" ca="1" si="15"/>
        <v>#N/A</v>
      </c>
    </row>
    <row r="133" spans="1:41" x14ac:dyDescent="0.2">
      <c r="A133">
        <f t="shared" si="11"/>
        <v>5</v>
      </c>
      <c r="B133">
        <v>124</v>
      </c>
      <c r="C133" s="1078">
        <v>2</v>
      </c>
      <c r="D133" s="1077" t="s">
        <v>3911</v>
      </c>
      <c r="E133" s="1077" t="s">
        <v>3990</v>
      </c>
      <c r="F133" s="1185"/>
      <c r="G133" s="1186"/>
      <c r="H133" s="1186"/>
      <c r="I133" s="1186">
        <v>13</v>
      </c>
      <c r="J133" s="1186">
        <v>2.4</v>
      </c>
      <c r="K133" s="1186">
        <v>7.8</v>
      </c>
      <c r="L133" s="1186">
        <v>3.1</v>
      </c>
      <c r="M133" s="1186">
        <v>15.2</v>
      </c>
      <c r="N133" s="1186">
        <v>4.0999999999999996</v>
      </c>
      <c r="O133" s="1186"/>
      <c r="P133" s="1186"/>
      <c r="Q133" s="1186">
        <v>12</v>
      </c>
      <c r="R133" s="1186">
        <v>1.7</v>
      </c>
      <c r="S133" s="1186">
        <v>12.7</v>
      </c>
      <c r="T133" s="1186">
        <v>2.5</v>
      </c>
      <c r="U133" s="1186"/>
      <c r="V133" s="1186"/>
      <c r="W133" s="1186"/>
      <c r="X133" s="1186"/>
      <c r="Y133" s="1186"/>
      <c r="Z133" s="1186"/>
      <c r="AA133" s="1186"/>
      <c r="AB133" s="1186"/>
      <c r="AC133" s="1186"/>
      <c r="AD133" s="1187"/>
      <c r="AH133" s="251">
        <v>94</v>
      </c>
      <c r="AI133" s="251" t="e">
        <f t="shared" si="13"/>
        <v>#N/A</v>
      </c>
      <c r="AJ133" s="251" t="e">
        <f t="shared" ca="1" si="16"/>
        <v>#N/A</v>
      </c>
      <c r="AL133" s="251">
        <f t="shared" ca="1" si="17"/>
        <v>1929</v>
      </c>
      <c r="AM133" s="251" t="e">
        <f t="shared" ca="1" si="12"/>
        <v>#N/A</v>
      </c>
      <c r="AN133" s="251" t="e">
        <f t="shared" ca="1" si="14"/>
        <v>#N/A</v>
      </c>
      <c r="AO133" s="251" t="e">
        <f t="shared" ca="1" si="15"/>
        <v>#N/A</v>
      </c>
    </row>
    <row r="134" spans="1:41" x14ac:dyDescent="0.2">
      <c r="A134">
        <f t="shared" si="11"/>
        <v>6</v>
      </c>
      <c r="B134">
        <v>125</v>
      </c>
      <c r="C134" s="1078">
        <v>2</v>
      </c>
      <c r="D134" s="1077" t="s">
        <v>3912</v>
      </c>
      <c r="E134" s="1077" t="s">
        <v>3991</v>
      </c>
      <c r="F134" s="1185"/>
      <c r="G134" s="1178"/>
      <c r="H134" s="1178"/>
      <c r="I134" s="1178">
        <v>3.9</v>
      </c>
      <c r="J134" s="1178">
        <v>3</v>
      </c>
      <c r="K134" s="1178">
        <v>4.8</v>
      </c>
      <c r="L134" s="1178">
        <v>3.7</v>
      </c>
      <c r="M134" s="1178">
        <v>6.3</v>
      </c>
      <c r="N134" s="1178">
        <v>4.7</v>
      </c>
      <c r="O134" s="1178"/>
      <c r="P134" s="1178"/>
      <c r="Q134" s="1178">
        <v>3.5</v>
      </c>
      <c r="R134" s="1178">
        <v>2</v>
      </c>
      <c r="S134" s="1178">
        <v>5.7</v>
      </c>
      <c r="T134" s="1178">
        <v>3</v>
      </c>
      <c r="U134" s="1186"/>
      <c r="V134" s="1186"/>
      <c r="W134" s="1186"/>
      <c r="X134" s="1186"/>
      <c r="Y134" s="1186"/>
      <c r="Z134" s="1186"/>
      <c r="AA134" s="1186"/>
      <c r="AB134" s="1186"/>
      <c r="AC134" s="1186"/>
      <c r="AD134" s="1187"/>
      <c r="AH134" s="251">
        <v>95</v>
      </c>
      <c r="AI134" s="251" t="e">
        <f t="shared" si="13"/>
        <v>#N/A</v>
      </c>
      <c r="AJ134" s="251" t="e">
        <f t="shared" ca="1" si="16"/>
        <v>#N/A</v>
      </c>
      <c r="AL134" s="251">
        <f t="shared" ca="1" si="17"/>
        <v>1930</v>
      </c>
      <c r="AM134" s="251" t="e">
        <f t="shared" ca="1" si="12"/>
        <v>#N/A</v>
      </c>
      <c r="AN134" s="251" t="e">
        <f t="shared" ca="1" si="14"/>
        <v>#N/A</v>
      </c>
      <c r="AO134" s="251" t="e">
        <f t="shared" ca="1" si="15"/>
        <v>#N/A</v>
      </c>
    </row>
    <row r="135" spans="1:41" x14ac:dyDescent="0.2">
      <c r="A135">
        <f t="shared" si="11"/>
        <v>6</v>
      </c>
      <c r="B135">
        <v>126</v>
      </c>
      <c r="C135" s="1078">
        <v>2</v>
      </c>
      <c r="D135" s="1077" t="s">
        <v>3912</v>
      </c>
      <c r="E135" s="1077" t="s">
        <v>3992</v>
      </c>
      <c r="F135" s="1185"/>
      <c r="G135" s="1178"/>
      <c r="H135" s="1178"/>
      <c r="I135" s="1178">
        <v>4.4000000000000004</v>
      </c>
      <c r="J135" s="1178">
        <v>2.7</v>
      </c>
      <c r="K135" s="1178">
        <v>5</v>
      </c>
      <c r="L135" s="1178">
        <v>2.9</v>
      </c>
      <c r="M135" s="1178">
        <v>6</v>
      </c>
      <c r="N135" s="1178">
        <v>4.4000000000000004</v>
      </c>
      <c r="O135" s="1178"/>
      <c r="P135" s="1178"/>
      <c r="Q135" s="1178">
        <v>4.4000000000000004</v>
      </c>
      <c r="R135" s="1178">
        <v>1.5</v>
      </c>
      <c r="S135" s="1178">
        <v>6</v>
      </c>
      <c r="T135" s="1178">
        <v>2.2999999999999998</v>
      </c>
      <c r="U135" s="1186"/>
      <c r="V135" s="1186"/>
      <c r="W135" s="1186"/>
      <c r="X135" s="1186"/>
      <c r="Y135" s="1186"/>
      <c r="Z135" s="1186"/>
      <c r="AA135" s="1186"/>
      <c r="AB135" s="1186"/>
      <c r="AC135" s="1186"/>
      <c r="AD135" s="1187"/>
      <c r="AH135" s="251">
        <v>96</v>
      </c>
      <c r="AI135" s="251" t="e">
        <f t="shared" si="13"/>
        <v>#N/A</v>
      </c>
      <c r="AJ135" s="251" t="e">
        <f t="shared" ca="1" si="16"/>
        <v>#N/A</v>
      </c>
      <c r="AL135" s="251">
        <f t="shared" ca="1" si="17"/>
        <v>1931</v>
      </c>
      <c r="AM135" s="251" t="e">
        <f t="shared" ca="1" si="12"/>
        <v>#N/A</v>
      </c>
      <c r="AN135" s="251" t="e">
        <f t="shared" ca="1" si="14"/>
        <v>#N/A</v>
      </c>
      <c r="AO135" s="251" t="e">
        <f t="shared" ca="1" si="15"/>
        <v>#N/A</v>
      </c>
    </row>
    <row r="136" spans="1:41" x14ac:dyDescent="0.2">
      <c r="A136">
        <f t="shared" si="11"/>
        <v>6</v>
      </c>
      <c r="B136">
        <v>127</v>
      </c>
      <c r="C136" s="1078">
        <v>2</v>
      </c>
      <c r="D136" s="1077" t="s">
        <v>3912</v>
      </c>
      <c r="E136" s="1077" t="s">
        <v>3993</v>
      </c>
      <c r="F136" s="1185"/>
      <c r="G136" s="1178"/>
      <c r="H136" s="1178"/>
      <c r="I136" s="1178">
        <v>4.9000000000000004</v>
      </c>
      <c r="J136" s="1178">
        <v>3</v>
      </c>
      <c r="K136" s="1178">
        <v>6</v>
      </c>
      <c r="L136" s="1178">
        <v>3.7</v>
      </c>
      <c r="M136" s="1178">
        <v>7.8</v>
      </c>
      <c r="N136" s="1178">
        <v>4.7</v>
      </c>
      <c r="O136" s="1178"/>
      <c r="P136" s="1178"/>
      <c r="Q136" s="1178">
        <v>4.4000000000000004</v>
      </c>
      <c r="R136" s="1178">
        <v>2</v>
      </c>
      <c r="S136" s="1178">
        <v>7</v>
      </c>
      <c r="T136" s="1178">
        <v>3</v>
      </c>
      <c r="U136" s="1186"/>
      <c r="V136" s="1186"/>
      <c r="W136" s="1186"/>
      <c r="X136" s="1186"/>
      <c r="Y136" s="1186"/>
      <c r="Z136" s="1186"/>
      <c r="AA136" s="1186"/>
      <c r="AB136" s="1186"/>
      <c r="AC136" s="1186"/>
      <c r="AD136" s="1187"/>
      <c r="AH136" s="251">
        <v>97</v>
      </c>
      <c r="AI136" s="251" t="e">
        <f t="shared" ref="AI136:AI167" si="18">MATCH(AH136,$A$10:$A$2000,0)</f>
        <v>#N/A</v>
      </c>
      <c r="AJ136" s="251" t="e">
        <f t="shared" ca="1" si="16"/>
        <v>#N/A</v>
      </c>
      <c r="AL136" s="251">
        <f t="shared" ca="1" si="17"/>
        <v>1932</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x14ac:dyDescent="0.2">
      <c r="A137">
        <f t="shared" si="11"/>
        <v>6</v>
      </c>
      <c r="B137">
        <v>128</v>
      </c>
      <c r="C137" s="1078">
        <v>2</v>
      </c>
      <c r="D137" s="1077" t="s">
        <v>3912</v>
      </c>
      <c r="E137" s="1077" t="s">
        <v>3993</v>
      </c>
      <c r="F137" s="1185"/>
      <c r="G137" s="1178"/>
      <c r="H137" s="1178"/>
      <c r="I137" s="1178">
        <v>4.9000000000000004</v>
      </c>
      <c r="J137" s="1178">
        <v>3</v>
      </c>
      <c r="K137" s="1178">
        <v>6</v>
      </c>
      <c r="L137" s="1178">
        <v>3.6</v>
      </c>
      <c r="M137" s="1178">
        <v>7.8</v>
      </c>
      <c r="N137" s="1178">
        <v>4.5999999999999996</v>
      </c>
      <c r="O137" s="1178"/>
      <c r="P137" s="1178"/>
      <c r="Q137" s="1178">
        <v>4.5</v>
      </c>
      <c r="R137" s="1178">
        <v>2</v>
      </c>
      <c r="S137" s="1178">
        <v>7</v>
      </c>
      <c r="T137" s="1178">
        <v>3</v>
      </c>
      <c r="U137" s="1186"/>
      <c r="V137" s="1186"/>
      <c r="W137" s="1186"/>
      <c r="X137" s="1186"/>
      <c r="Y137" s="1186"/>
      <c r="Z137" s="1186"/>
      <c r="AA137" s="1186"/>
      <c r="AB137" s="1186"/>
      <c r="AC137" s="1186"/>
      <c r="AD137" s="1187"/>
      <c r="AH137" s="251">
        <v>98</v>
      </c>
      <c r="AI137" s="251" t="e">
        <f t="shared" si="18"/>
        <v>#N/A</v>
      </c>
      <c r="AJ137" s="251" t="e">
        <f t="shared" ca="1" si="16"/>
        <v>#N/A</v>
      </c>
      <c r="AL137" s="251">
        <f t="shared" ca="1" si="17"/>
        <v>1933</v>
      </c>
      <c r="AM137" s="251" t="e">
        <f t="shared" ca="1" si="12"/>
        <v>#N/A</v>
      </c>
      <c r="AN137" s="251" t="e">
        <f t="shared" ca="1" si="19"/>
        <v>#N/A</v>
      </c>
      <c r="AO137" s="251" t="e">
        <f t="shared" ca="1" si="20"/>
        <v>#N/A</v>
      </c>
    </row>
    <row r="138" spans="1:41" x14ac:dyDescent="0.2">
      <c r="A138">
        <f t="shared" si="11"/>
        <v>6</v>
      </c>
      <c r="B138">
        <v>129</v>
      </c>
      <c r="C138" s="1078">
        <v>2</v>
      </c>
      <c r="D138" s="1077" t="s">
        <v>3912</v>
      </c>
      <c r="E138" s="1077" t="s">
        <v>3994</v>
      </c>
      <c r="F138" s="1185"/>
      <c r="G138" s="1178"/>
      <c r="H138" s="1178"/>
      <c r="I138" s="1178">
        <v>7</v>
      </c>
      <c r="J138" s="1178">
        <v>2.9</v>
      </c>
      <c r="K138" s="1178">
        <v>7.5</v>
      </c>
      <c r="L138" s="1178">
        <v>3.4</v>
      </c>
      <c r="M138" s="1178">
        <v>8</v>
      </c>
      <c r="N138" s="1178">
        <v>4.4000000000000004</v>
      </c>
      <c r="O138" s="1178"/>
      <c r="P138" s="1178"/>
      <c r="Q138" s="1178">
        <v>7</v>
      </c>
      <c r="R138" s="1178">
        <v>1.7</v>
      </c>
      <c r="S138" s="1178">
        <v>8</v>
      </c>
      <c r="T138" s="1178">
        <v>2.8</v>
      </c>
      <c r="U138" s="1186"/>
      <c r="V138" s="1186"/>
      <c r="W138" s="1186"/>
      <c r="X138" s="1186"/>
      <c r="Y138" s="1186"/>
      <c r="Z138" s="1186"/>
      <c r="AA138" s="1186"/>
      <c r="AB138" s="1186"/>
      <c r="AC138" s="1186"/>
      <c r="AD138" s="1187"/>
      <c r="AH138" s="251">
        <v>99</v>
      </c>
      <c r="AI138" s="251" t="e">
        <f t="shared" si="18"/>
        <v>#N/A</v>
      </c>
      <c r="AJ138" s="251" t="e">
        <f t="shared" ca="1" si="16"/>
        <v>#N/A</v>
      </c>
      <c r="AL138" s="251">
        <f t="shared" ca="1" si="17"/>
        <v>1934</v>
      </c>
      <c r="AM138" s="251" t="e">
        <f t="shared" ca="1" si="12"/>
        <v>#N/A</v>
      </c>
      <c r="AN138" s="251" t="e">
        <f t="shared" ca="1" si="19"/>
        <v>#N/A</v>
      </c>
      <c r="AO138" s="251" t="e">
        <f t="shared" ca="1" si="20"/>
        <v>#N/A</v>
      </c>
    </row>
    <row r="139" spans="1:41" x14ac:dyDescent="0.2">
      <c r="A139">
        <f t="shared" si="11"/>
        <v>6</v>
      </c>
      <c r="B139">
        <v>130</v>
      </c>
      <c r="C139" s="1078">
        <v>2</v>
      </c>
      <c r="D139" s="1077" t="s">
        <v>3912</v>
      </c>
      <c r="E139" s="1077" t="s">
        <v>3995</v>
      </c>
      <c r="F139" s="1185"/>
      <c r="G139" s="1178"/>
      <c r="H139" s="1178"/>
      <c r="I139" s="1178">
        <v>8</v>
      </c>
      <c r="J139" s="1178">
        <v>3.1</v>
      </c>
      <c r="K139" s="1178">
        <v>8</v>
      </c>
      <c r="L139" s="1178">
        <v>3.6</v>
      </c>
      <c r="M139" s="1178">
        <v>8</v>
      </c>
      <c r="N139" s="1178">
        <v>4.7</v>
      </c>
      <c r="O139" s="1178"/>
      <c r="P139" s="1178"/>
      <c r="Q139" s="1178">
        <v>8</v>
      </c>
      <c r="R139" s="1178">
        <v>1.9</v>
      </c>
      <c r="S139" s="1178">
        <v>8</v>
      </c>
      <c r="T139" s="1178">
        <v>2.8</v>
      </c>
      <c r="U139" s="1186"/>
      <c r="V139" s="1186"/>
      <c r="W139" s="1186"/>
      <c r="X139" s="1186"/>
      <c r="Y139" s="1186"/>
      <c r="Z139" s="1186"/>
      <c r="AA139" s="1186"/>
      <c r="AB139" s="1186"/>
      <c r="AC139" s="1186"/>
      <c r="AD139" s="1187"/>
      <c r="AH139" s="251">
        <v>100</v>
      </c>
      <c r="AI139" s="251" t="e">
        <f t="shared" si="18"/>
        <v>#N/A</v>
      </c>
      <c r="AJ139" s="251" t="e">
        <f t="shared" ca="1" si="16"/>
        <v>#N/A</v>
      </c>
      <c r="AL139" s="251">
        <f t="shared" ca="1" si="17"/>
        <v>1935</v>
      </c>
      <c r="AM139" s="251" t="e">
        <f t="shared" ca="1" si="12"/>
        <v>#N/A</v>
      </c>
      <c r="AN139" s="251" t="e">
        <f t="shared" ca="1" si="19"/>
        <v>#N/A</v>
      </c>
      <c r="AO139" s="251" t="e">
        <f t="shared" ca="1" si="20"/>
        <v>#N/A</v>
      </c>
    </row>
    <row r="140" spans="1:41" x14ac:dyDescent="0.2">
      <c r="A140">
        <f t="shared" ref="A140:A203" si="21">A139+(D140&lt;&gt;D139)*1</f>
        <v>6</v>
      </c>
      <c r="B140">
        <v>131</v>
      </c>
      <c r="C140" s="1078">
        <v>2</v>
      </c>
      <c r="D140" s="1077" t="s">
        <v>3912</v>
      </c>
      <c r="E140" s="1077" t="s">
        <v>3996</v>
      </c>
      <c r="F140" s="1185"/>
      <c r="G140" s="1178"/>
      <c r="H140" s="1178"/>
      <c r="I140" s="1178">
        <v>7</v>
      </c>
      <c r="J140" s="1178">
        <v>3.2</v>
      </c>
      <c r="K140" s="1178">
        <v>8.8000000000000007</v>
      </c>
      <c r="L140" s="1178">
        <v>3.9</v>
      </c>
      <c r="M140" s="1178">
        <v>11.5</v>
      </c>
      <c r="N140" s="1178">
        <v>4.9000000000000004</v>
      </c>
      <c r="O140" s="1178"/>
      <c r="P140" s="1178"/>
      <c r="Q140" s="1178">
        <v>6.6</v>
      </c>
      <c r="R140" s="1178">
        <v>2.2000000000000002</v>
      </c>
      <c r="S140" s="1178">
        <v>10.5</v>
      </c>
      <c r="T140" s="1178">
        <v>3.2</v>
      </c>
      <c r="U140" s="1186"/>
      <c r="V140" s="1186"/>
      <c r="W140" s="1186"/>
      <c r="X140" s="1186"/>
      <c r="Y140" s="1186"/>
      <c r="Z140" s="1186"/>
      <c r="AA140" s="1186"/>
      <c r="AB140" s="1186"/>
      <c r="AC140" s="1186"/>
      <c r="AD140" s="1187"/>
      <c r="AH140" s="251">
        <v>101</v>
      </c>
      <c r="AI140" s="251" t="e">
        <f t="shared" si="18"/>
        <v>#N/A</v>
      </c>
      <c r="AJ140" s="251" t="e">
        <f t="shared" ca="1" si="16"/>
        <v>#N/A</v>
      </c>
      <c r="AL140" s="251">
        <f t="shared" ca="1" si="17"/>
        <v>1936</v>
      </c>
      <c r="AM140" s="251" t="e">
        <f t="shared" ca="1" si="12"/>
        <v>#N/A</v>
      </c>
      <c r="AN140" s="251" t="e">
        <f t="shared" ca="1" si="19"/>
        <v>#N/A</v>
      </c>
      <c r="AO140" s="251" t="e">
        <f t="shared" ca="1" si="20"/>
        <v>#N/A</v>
      </c>
    </row>
    <row r="141" spans="1:41" x14ac:dyDescent="0.2">
      <c r="A141">
        <f t="shared" si="21"/>
        <v>6</v>
      </c>
      <c r="B141">
        <v>132</v>
      </c>
      <c r="C141" s="1078">
        <v>2</v>
      </c>
      <c r="D141" s="1077" t="s">
        <v>3912</v>
      </c>
      <c r="E141" s="1077" t="s">
        <v>3997</v>
      </c>
      <c r="F141" s="1185"/>
      <c r="G141" s="1178"/>
      <c r="H141" s="1178"/>
      <c r="I141" s="1178">
        <v>8.5</v>
      </c>
      <c r="J141" s="1178">
        <v>2.8</v>
      </c>
      <c r="K141" s="1178">
        <v>10</v>
      </c>
      <c r="L141" s="1178">
        <v>3.3</v>
      </c>
      <c r="M141" s="1178">
        <v>11.2</v>
      </c>
      <c r="N141" s="1178">
        <v>4.5</v>
      </c>
      <c r="O141" s="1178"/>
      <c r="P141" s="1178"/>
      <c r="Q141" s="1178">
        <v>8.5</v>
      </c>
      <c r="R141" s="1178">
        <v>1.7</v>
      </c>
      <c r="S141" s="1178">
        <v>11.2</v>
      </c>
      <c r="T141" s="1178">
        <v>2.6</v>
      </c>
      <c r="U141" s="1186"/>
      <c r="V141" s="1186"/>
      <c r="W141" s="1186"/>
      <c r="X141" s="1186"/>
      <c r="Y141" s="1186"/>
      <c r="Z141" s="1186"/>
      <c r="AA141" s="1186"/>
      <c r="AB141" s="1186"/>
      <c r="AC141" s="1186"/>
      <c r="AD141" s="1187"/>
      <c r="AH141" s="251">
        <v>102</v>
      </c>
      <c r="AI141" s="251" t="e">
        <f t="shared" si="18"/>
        <v>#N/A</v>
      </c>
      <c r="AJ141" s="251" t="e">
        <f t="shared" ca="1" si="16"/>
        <v>#N/A</v>
      </c>
      <c r="AL141" s="251">
        <f t="shared" ca="1" si="17"/>
        <v>1937</v>
      </c>
      <c r="AM141" s="251" t="e">
        <f t="shared" ca="1" si="12"/>
        <v>#N/A</v>
      </c>
      <c r="AN141" s="251" t="e">
        <f t="shared" ca="1" si="19"/>
        <v>#N/A</v>
      </c>
      <c r="AO141" s="251" t="e">
        <f t="shared" ca="1" si="20"/>
        <v>#N/A</v>
      </c>
    </row>
    <row r="142" spans="1:41" x14ac:dyDescent="0.2">
      <c r="A142">
        <f t="shared" si="21"/>
        <v>6</v>
      </c>
      <c r="B142">
        <v>133</v>
      </c>
      <c r="C142" s="1078">
        <v>2</v>
      </c>
      <c r="D142" s="1077" t="s">
        <v>3912</v>
      </c>
      <c r="E142" s="1077" t="s">
        <v>3998</v>
      </c>
      <c r="F142" s="1185"/>
      <c r="G142" s="1178"/>
      <c r="H142" s="1178"/>
      <c r="I142" s="1178">
        <v>11.2</v>
      </c>
      <c r="J142" s="1178">
        <v>2.8</v>
      </c>
      <c r="K142" s="1178">
        <v>11.2</v>
      </c>
      <c r="L142" s="1178">
        <v>3.3</v>
      </c>
      <c r="M142" s="1178">
        <v>11.2</v>
      </c>
      <c r="N142" s="1178">
        <v>4.5</v>
      </c>
      <c r="O142" s="1178"/>
      <c r="P142" s="1178"/>
      <c r="Q142" s="1178">
        <v>11.4</v>
      </c>
      <c r="R142" s="1178">
        <v>2</v>
      </c>
      <c r="S142" s="1178">
        <v>11.6</v>
      </c>
      <c r="T142" s="1178">
        <v>2.8</v>
      </c>
      <c r="U142" s="1186"/>
      <c r="V142" s="1186"/>
      <c r="W142" s="1186"/>
      <c r="X142" s="1186"/>
      <c r="Y142" s="1186"/>
      <c r="Z142" s="1186"/>
      <c r="AA142" s="1186"/>
      <c r="AB142" s="1186"/>
      <c r="AC142" s="1186"/>
      <c r="AD142" s="1187"/>
      <c r="AH142" s="251">
        <v>103</v>
      </c>
      <c r="AI142" s="251" t="e">
        <f t="shared" si="18"/>
        <v>#N/A</v>
      </c>
      <c r="AJ142" s="251" t="e">
        <f t="shared" ca="1" si="16"/>
        <v>#N/A</v>
      </c>
      <c r="AL142" s="251">
        <f t="shared" ca="1" si="17"/>
        <v>1938</v>
      </c>
      <c r="AM142" s="251" t="e">
        <f t="shared" ca="1" si="12"/>
        <v>#N/A</v>
      </c>
      <c r="AN142" s="251" t="e">
        <f t="shared" ca="1" si="19"/>
        <v>#N/A</v>
      </c>
      <c r="AO142" s="251" t="e">
        <f t="shared" ca="1" si="20"/>
        <v>#N/A</v>
      </c>
    </row>
    <row r="143" spans="1:41" x14ac:dyDescent="0.2">
      <c r="A143">
        <f t="shared" si="21"/>
        <v>6</v>
      </c>
      <c r="B143">
        <v>134</v>
      </c>
      <c r="C143" s="1078">
        <v>2</v>
      </c>
      <c r="D143" s="1077" t="s">
        <v>3912</v>
      </c>
      <c r="E143" s="1077" t="s">
        <v>3999</v>
      </c>
      <c r="F143" s="1185"/>
      <c r="G143" s="1178"/>
      <c r="H143" s="1178"/>
      <c r="I143" s="1178">
        <v>10</v>
      </c>
      <c r="J143" s="1178">
        <v>3</v>
      </c>
      <c r="K143" s="1178">
        <v>11.3</v>
      </c>
      <c r="L143" s="1178">
        <v>3.5</v>
      </c>
      <c r="M143" s="1178">
        <v>15.7</v>
      </c>
      <c r="N143" s="1178">
        <v>4.5999999999999996</v>
      </c>
      <c r="O143" s="1178"/>
      <c r="P143" s="1178"/>
      <c r="Q143" s="1178">
        <v>9.4</v>
      </c>
      <c r="R143" s="1178">
        <v>2.2000000000000002</v>
      </c>
      <c r="S143" s="1178">
        <v>14.4</v>
      </c>
      <c r="T143" s="1178">
        <v>3.1</v>
      </c>
      <c r="U143" s="1186"/>
      <c r="V143" s="1186"/>
      <c r="W143" s="1186"/>
      <c r="X143" s="1186"/>
      <c r="Y143" s="1186"/>
      <c r="Z143" s="1186"/>
      <c r="AA143" s="1186"/>
      <c r="AB143" s="1186"/>
      <c r="AC143" s="1186"/>
      <c r="AD143" s="1187"/>
      <c r="AH143" s="251">
        <v>104</v>
      </c>
      <c r="AI143" s="251" t="e">
        <f t="shared" si="18"/>
        <v>#N/A</v>
      </c>
      <c r="AJ143" s="251" t="e">
        <f t="shared" ca="1" si="16"/>
        <v>#N/A</v>
      </c>
      <c r="AL143" s="251">
        <f t="shared" ca="1" si="17"/>
        <v>1939</v>
      </c>
      <c r="AM143" s="251" t="e">
        <f t="shared" ca="1" si="12"/>
        <v>#N/A</v>
      </c>
      <c r="AN143" s="251" t="e">
        <f t="shared" ca="1" si="19"/>
        <v>#N/A</v>
      </c>
      <c r="AO143" s="251" t="e">
        <f t="shared" ca="1" si="20"/>
        <v>#N/A</v>
      </c>
    </row>
    <row r="144" spans="1:41" x14ac:dyDescent="0.2">
      <c r="A144">
        <f t="shared" si="21"/>
        <v>6</v>
      </c>
      <c r="B144">
        <v>135</v>
      </c>
      <c r="C144" s="1078">
        <v>2</v>
      </c>
      <c r="D144" s="1077" t="s">
        <v>3912</v>
      </c>
      <c r="E144" s="1077" t="s">
        <v>4000</v>
      </c>
      <c r="F144" s="1185"/>
      <c r="G144" s="1178"/>
      <c r="H144" s="1178"/>
      <c r="I144" s="1178">
        <v>11.2</v>
      </c>
      <c r="J144" s="1178">
        <v>2.9</v>
      </c>
      <c r="K144" s="1178">
        <v>12</v>
      </c>
      <c r="L144" s="1178">
        <v>3.2</v>
      </c>
      <c r="M144" s="1178">
        <v>16</v>
      </c>
      <c r="N144" s="1178">
        <v>4.0999999999999996</v>
      </c>
      <c r="O144" s="1178"/>
      <c r="P144" s="1178"/>
      <c r="Q144" s="1178">
        <v>11.2</v>
      </c>
      <c r="R144" s="1178">
        <v>1.7</v>
      </c>
      <c r="S144" s="1178">
        <v>15.2</v>
      </c>
      <c r="T144" s="1178">
        <v>2.5</v>
      </c>
      <c r="U144" s="1186"/>
      <c r="V144" s="1186"/>
      <c r="W144" s="1186"/>
      <c r="X144" s="1186"/>
      <c r="Y144" s="1186"/>
      <c r="Z144" s="1186"/>
      <c r="AA144" s="1186"/>
      <c r="AB144" s="1186"/>
      <c r="AC144" s="1186"/>
      <c r="AD144" s="1187"/>
      <c r="AH144" s="251">
        <v>105</v>
      </c>
      <c r="AI144" s="251" t="e">
        <f t="shared" si="18"/>
        <v>#N/A</v>
      </c>
      <c r="AJ144" s="251" t="e">
        <f t="shared" ca="1" si="16"/>
        <v>#N/A</v>
      </c>
      <c r="AL144" s="251">
        <f t="shared" ca="1" si="17"/>
        <v>1940</v>
      </c>
      <c r="AM144" s="251" t="e">
        <f t="shared" ca="1" si="12"/>
        <v>#N/A</v>
      </c>
      <c r="AN144" s="251" t="e">
        <f t="shared" ca="1" si="19"/>
        <v>#N/A</v>
      </c>
      <c r="AO144" s="251" t="e">
        <f t="shared" ca="1" si="20"/>
        <v>#N/A</v>
      </c>
    </row>
    <row r="145" spans="1:41" x14ac:dyDescent="0.2">
      <c r="A145">
        <f t="shared" si="21"/>
        <v>6</v>
      </c>
      <c r="B145">
        <v>136</v>
      </c>
      <c r="C145" s="1078">
        <v>2</v>
      </c>
      <c r="D145" s="1077" t="s">
        <v>3912</v>
      </c>
      <c r="E145" s="1077" t="s">
        <v>4001</v>
      </c>
      <c r="F145" s="1185"/>
      <c r="G145" s="1178"/>
      <c r="H145" s="1178"/>
      <c r="I145" s="1178">
        <v>14</v>
      </c>
      <c r="J145" s="1178">
        <v>2.6</v>
      </c>
      <c r="K145" s="1178">
        <v>14</v>
      </c>
      <c r="L145" s="1178">
        <v>3</v>
      </c>
      <c r="M145" s="1178">
        <v>14</v>
      </c>
      <c r="N145" s="1178">
        <v>4.2</v>
      </c>
      <c r="O145" s="1178"/>
      <c r="P145" s="1178"/>
      <c r="Q145" s="1178">
        <v>14</v>
      </c>
      <c r="R145" s="1178">
        <v>1.6</v>
      </c>
      <c r="S145" s="1178">
        <v>14</v>
      </c>
      <c r="T145" s="1178">
        <v>2.5</v>
      </c>
      <c r="U145" s="1186"/>
      <c r="V145" s="1186"/>
      <c r="W145" s="1186"/>
      <c r="X145" s="1186"/>
      <c r="Y145" s="1186"/>
      <c r="Z145" s="1186"/>
      <c r="AA145" s="1186"/>
      <c r="AB145" s="1186"/>
      <c r="AC145" s="1186"/>
      <c r="AD145" s="1187"/>
      <c r="AH145" s="251">
        <v>106</v>
      </c>
      <c r="AI145" s="251" t="e">
        <f t="shared" si="18"/>
        <v>#N/A</v>
      </c>
      <c r="AJ145" s="251" t="e">
        <f t="shared" ca="1" si="16"/>
        <v>#N/A</v>
      </c>
      <c r="AL145" s="251">
        <f t="shared" ca="1" si="17"/>
        <v>1941</v>
      </c>
      <c r="AM145" s="251" t="e">
        <f t="shared" ca="1" si="12"/>
        <v>#N/A</v>
      </c>
      <c r="AN145" s="251" t="e">
        <f t="shared" ca="1" si="19"/>
        <v>#N/A</v>
      </c>
      <c r="AO145" s="251" t="e">
        <f t="shared" ca="1" si="20"/>
        <v>#N/A</v>
      </c>
    </row>
    <row r="146" spans="1:41" x14ac:dyDescent="0.2">
      <c r="A146">
        <f t="shared" si="21"/>
        <v>6</v>
      </c>
      <c r="B146">
        <v>137</v>
      </c>
      <c r="C146" s="1078">
        <v>2</v>
      </c>
      <c r="D146" s="1077" t="s">
        <v>3912</v>
      </c>
      <c r="E146" s="1077" t="s">
        <v>4002</v>
      </c>
      <c r="F146" s="1185"/>
      <c r="G146" s="1178"/>
      <c r="H146" s="1178"/>
      <c r="I146" s="1178">
        <v>11.5</v>
      </c>
      <c r="J146" s="1178">
        <v>2.9</v>
      </c>
      <c r="K146" s="1178">
        <v>14.5</v>
      </c>
      <c r="L146" s="1178">
        <v>3.5</v>
      </c>
      <c r="M146" s="1178">
        <v>17.5</v>
      </c>
      <c r="N146" s="1178">
        <v>4.2</v>
      </c>
      <c r="O146" s="1178"/>
      <c r="P146" s="1178"/>
      <c r="Q146" s="1178">
        <v>10.9</v>
      </c>
      <c r="R146" s="1178">
        <v>2.2999999999999998</v>
      </c>
      <c r="S146" s="1178">
        <v>15.9</v>
      </c>
      <c r="T146" s="1178">
        <v>2.9</v>
      </c>
      <c r="U146" s="1186"/>
      <c r="V146" s="1186"/>
      <c r="W146" s="1186"/>
      <c r="X146" s="1186"/>
      <c r="Y146" s="1186"/>
      <c r="Z146" s="1186"/>
      <c r="AA146" s="1186"/>
      <c r="AB146" s="1186"/>
      <c r="AC146" s="1186"/>
      <c r="AD146" s="1187"/>
      <c r="AH146" s="251">
        <v>107</v>
      </c>
      <c r="AI146" s="251" t="e">
        <f t="shared" si="18"/>
        <v>#N/A</v>
      </c>
      <c r="AJ146" s="251" t="e">
        <f t="shared" ca="1" si="16"/>
        <v>#N/A</v>
      </c>
      <c r="AL146" s="251">
        <f t="shared" ca="1" si="17"/>
        <v>1942</v>
      </c>
      <c r="AM146" s="251" t="e">
        <f t="shared" ref="AM146:AM209" ca="1" si="22">IF(AL146&lt;$AH$13,AL146,"")</f>
        <v>#N/A</v>
      </c>
      <c r="AN146" s="251" t="e">
        <f t="shared" ca="1" si="19"/>
        <v>#N/A</v>
      </c>
      <c r="AO146" s="251" t="e">
        <f t="shared" ca="1" si="20"/>
        <v>#N/A</v>
      </c>
    </row>
    <row r="147" spans="1:41" x14ac:dyDescent="0.2">
      <c r="A147">
        <f t="shared" si="21"/>
        <v>6</v>
      </c>
      <c r="B147">
        <v>138</v>
      </c>
      <c r="C147" s="1078">
        <v>3</v>
      </c>
      <c r="D147" s="1077" t="s">
        <v>3912</v>
      </c>
      <c r="E147" s="1077" t="s">
        <v>4003</v>
      </c>
      <c r="F147" s="1185">
        <v>1</v>
      </c>
      <c r="G147" s="1178"/>
      <c r="H147" s="1178"/>
      <c r="I147" s="1178"/>
      <c r="J147" s="1178"/>
      <c r="K147" s="1178"/>
      <c r="L147" s="1178"/>
      <c r="M147" s="1178"/>
      <c r="N147" s="1178"/>
      <c r="O147" s="1178"/>
      <c r="P147" s="1178"/>
      <c r="Q147" s="1178"/>
      <c r="R147" s="1178"/>
      <c r="S147" s="1178"/>
      <c r="T147" s="1178"/>
      <c r="U147" s="1186"/>
      <c r="V147" s="1186"/>
      <c r="W147" s="1186">
        <v>5.9</v>
      </c>
      <c r="X147" s="1186">
        <v>4.5999999999999996</v>
      </c>
      <c r="Y147" s="1186">
        <v>5.2</v>
      </c>
      <c r="Z147" s="1186">
        <v>2.8</v>
      </c>
      <c r="AA147" s="1186"/>
      <c r="AB147" s="1186"/>
      <c r="AC147" s="1186"/>
      <c r="AD147" s="1187"/>
      <c r="AH147" s="251">
        <v>108</v>
      </c>
      <c r="AI147" s="251" t="e">
        <f t="shared" si="18"/>
        <v>#N/A</v>
      </c>
      <c r="AJ147" s="251" t="e">
        <f t="shared" ca="1" si="16"/>
        <v>#N/A</v>
      </c>
      <c r="AL147" s="251">
        <f t="shared" ca="1" si="17"/>
        <v>1943</v>
      </c>
      <c r="AM147" s="251" t="e">
        <f t="shared" ca="1" si="22"/>
        <v>#N/A</v>
      </c>
      <c r="AN147" s="251" t="e">
        <f t="shared" ca="1" si="19"/>
        <v>#N/A</v>
      </c>
      <c r="AO147" s="251" t="e">
        <f t="shared" ca="1" si="20"/>
        <v>#N/A</v>
      </c>
    </row>
    <row r="148" spans="1:41" x14ac:dyDescent="0.2">
      <c r="A148">
        <f t="shared" si="21"/>
        <v>6</v>
      </c>
      <c r="B148">
        <v>139</v>
      </c>
      <c r="C148" s="1078">
        <v>3</v>
      </c>
      <c r="D148" s="1077" t="s">
        <v>3912</v>
      </c>
      <c r="E148" s="1077" t="s">
        <v>4004</v>
      </c>
      <c r="F148" s="1185">
        <v>4</v>
      </c>
      <c r="G148" s="1178"/>
      <c r="H148" s="1178"/>
      <c r="I148" s="1178"/>
      <c r="J148" s="1178"/>
      <c r="K148" s="1178"/>
      <c r="L148" s="1178"/>
      <c r="M148" s="1178"/>
      <c r="N148" s="1178"/>
      <c r="O148" s="1178"/>
      <c r="P148" s="1178"/>
      <c r="Q148" s="1178"/>
      <c r="R148" s="1178"/>
      <c r="S148" s="1178"/>
      <c r="T148" s="1178"/>
      <c r="U148" s="1186"/>
      <c r="V148" s="1186"/>
      <c r="W148" s="1186">
        <v>6.1</v>
      </c>
      <c r="X148" s="1186">
        <v>4.8</v>
      </c>
      <c r="Y148" s="1186">
        <v>5.2</v>
      </c>
      <c r="Z148" s="1186">
        <v>3</v>
      </c>
      <c r="AA148" s="1186"/>
      <c r="AB148" s="1186"/>
      <c r="AC148" s="1186"/>
      <c r="AD148" s="1187"/>
      <c r="AH148" s="251">
        <v>109</v>
      </c>
      <c r="AI148" s="251" t="e">
        <f t="shared" si="18"/>
        <v>#N/A</v>
      </c>
      <c r="AJ148" s="251" t="e">
        <f t="shared" ca="1" si="16"/>
        <v>#N/A</v>
      </c>
      <c r="AL148" s="251">
        <f t="shared" ca="1" si="17"/>
        <v>1944</v>
      </c>
      <c r="AM148" s="251" t="e">
        <f t="shared" ca="1" si="22"/>
        <v>#N/A</v>
      </c>
      <c r="AN148" s="251" t="e">
        <f t="shared" ca="1" si="19"/>
        <v>#N/A</v>
      </c>
      <c r="AO148" s="251" t="e">
        <f t="shared" ca="1" si="20"/>
        <v>#N/A</v>
      </c>
    </row>
    <row r="149" spans="1:41" x14ac:dyDescent="0.2">
      <c r="A149">
        <f t="shared" si="21"/>
        <v>6</v>
      </c>
      <c r="B149">
        <v>140</v>
      </c>
      <c r="C149" s="1078">
        <v>3</v>
      </c>
      <c r="D149" s="1077" t="s">
        <v>3912</v>
      </c>
      <c r="E149" s="1077" t="s">
        <v>4005</v>
      </c>
      <c r="F149" s="1185">
        <v>1</v>
      </c>
      <c r="G149" s="1178"/>
      <c r="H149" s="1178"/>
      <c r="I149" s="1178"/>
      <c r="J149" s="1178"/>
      <c r="K149" s="1178"/>
      <c r="L149" s="1178"/>
      <c r="M149" s="1178"/>
      <c r="N149" s="1178"/>
      <c r="O149" s="1178"/>
      <c r="P149" s="1178"/>
      <c r="Q149" s="1178"/>
      <c r="R149" s="1178"/>
      <c r="S149" s="1178"/>
      <c r="T149" s="1178"/>
      <c r="U149" s="1186"/>
      <c r="V149" s="1186"/>
      <c r="W149" s="1186">
        <v>8.1999999999999993</v>
      </c>
      <c r="X149" s="1186">
        <v>4.5999999999999996</v>
      </c>
      <c r="Y149" s="1186">
        <v>7.6</v>
      </c>
      <c r="Z149" s="1186">
        <v>3</v>
      </c>
      <c r="AA149" s="1186"/>
      <c r="AB149" s="1186"/>
      <c r="AC149" s="1186"/>
      <c r="AD149" s="1187"/>
      <c r="AH149" s="251">
        <v>110</v>
      </c>
      <c r="AI149" s="251" t="e">
        <f t="shared" si="18"/>
        <v>#N/A</v>
      </c>
      <c r="AJ149" s="251" t="e">
        <f t="shared" ca="1" si="16"/>
        <v>#N/A</v>
      </c>
      <c r="AL149" s="251">
        <f t="shared" ca="1" si="17"/>
        <v>1945</v>
      </c>
      <c r="AM149" s="251" t="e">
        <f t="shared" ca="1" si="22"/>
        <v>#N/A</v>
      </c>
      <c r="AN149" s="251" t="e">
        <f t="shared" ca="1" si="19"/>
        <v>#N/A</v>
      </c>
      <c r="AO149" s="251" t="e">
        <f t="shared" ca="1" si="20"/>
        <v>#N/A</v>
      </c>
    </row>
    <row r="150" spans="1:41" x14ac:dyDescent="0.2">
      <c r="A150">
        <f t="shared" si="21"/>
        <v>6</v>
      </c>
      <c r="B150">
        <v>141</v>
      </c>
      <c r="C150" s="1078">
        <v>3</v>
      </c>
      <c r="D150" s="1077" t="s">
        <v>3912</v>
      </c>
      <c r="E150" s="1077" t="s">
        <v>4006</v>
      </c>
      <c r="F150" s="1185">
        <v>1</v>
      </c>
      <c r="G150" s="1178"/>
      <c r="H150" s="1178"/>
      <c r="I150" s="1178"/>
      <c r="J150" s="1178"/>
      <c r="K150" s="1178"/>
      <c r="L150" s="1178"/>
      <c r="M150" s="1178"/>
      <c r="N150" s="1178"/>
      <c r="O150" s="1178"/>
      <c r="P150" s="1178"/>
      <c r="Q150" s="1178"/>
      <c r="R150" s="1178"/>
      <c r="S150" s="1178"/>
      <c r="T150" s="1178"/>
      <c r="U150" s="1186"/>
      <c r="V150" s="1186"/>
      <c r="W150" s="1186">
        <v>8.1999999999999993</v>
      </c>
      <c r="X150" s="1186">
        <v>4.5999999999999996</v>
      </c>
      <c r="Y150" s="1186">
        <v>7.6</v>
      </c>
      <c r="Z150" s="1186">
        <v>3</v>
      </c>
      <c r="AA150" s="1186"/>
      <c r="AB150" s="1186"/>
      <c r="AC150" s="1186"/>
      <c r="AD150" s="1187"/>
      <c r="AH150" s="251">
        <v>111</v>
      </c>
      <c r="AI150" s="251" t="e">
        <f t="shared" si="18"/>
        <v>#N/A</v>
      </c>
      <c r="AJ150" s="251" t="e">
        <f t="shared" ca="1" si="16"/>
        <v>#N/A</v>
      </c>
      <c r="AL150" s="251">
        <f t="shared" ca="1" si="17"/>
        <v>1946</v>
      </c>
      <c r="AM150" s="251" t="e">
        <f t="shared" ca="1" si="22"/>
        <v>#N/A</v>
      </c>
      <c r="AN150" s="251" t="e">
        <f t="shared" ca="1" si="19"/>
        <v>#N/A</v>
      </c>
      <c r="AO150" s="251" t="e">
        <f t="shared" ca="1" si="20"/>
        <v>#N/A</v>
      </c>
    </row>
    <row r="151" spans="1:41" x14ac:dyDescent="0.2">
      <c r="A151">
        <f t="shared" si="21"/>
        <v>6</v>
      </c>
      <c r="B151">
        <v>142</v>
      </c>
      <c r="C151" s="1078">
        <v>3</v>
      </c>
      <c r="D151" s="1077" t="s">
        <v>3912</v>
      </c>
      <c r="E151" s="1077" t="s">
        <v>4007</v>
      </c>
      <c r="F151" s="1185">
        <v>1</v>
      </c>
      <c r="G151" s="1178"/>
      <c r="H151" s="1178"/>
      <c r="I151" s="1178"/>
      <c r="J151" s="1178"/>
      <c r="K151" s="1178"/>
      <c r="L151" s="1178"/>
      <c r="M151" s="1178"/>
      <c r="N151" s="1178"/>
      <c r="O151" s="1178"/>
      <c r="P151" s="1178"/>
      <c r="Q151" s="1178"/>
      <c r="R151" s="1178"/>
      <c r="S151" s="1178"/>
      <c r="T151" s="1178"/>
      <c r="U151" s="1178"/>
      <c r="V151" s="1178"/>
      <c r="W151" s="1178">
        <v>10</v>
      </c>
      <c r="X151" s="1178">
        <v>4.5999999999999996</v>
      </c>
      <c r="Y151" s="1178">
        <v>9.3000000000000007</v>
      </c>
      <c r="Z151" s="1178">
        <v>3</v>
      </c>
      <c r="AA151" s="1178"/>
      <c r="AB151" s="1178"/>
      <c r="AC151" s="1178"/>
      <c r="AD151" s="1179"/>
      <c r="AH151" s="251">
        <v>112</v>
      </c>
      <c r="AI151" s="251" t="e">
        <f t="shared" si="18"/>
        <v>#N/A</v>
      </c>
      <c r="AJ151" s="251" t="e">
        <f t="shared" ca="1" si="16"/>
        <v>#N/A</v>
      </c>
      <c r="AL151" s="251">
        <f t="shared" ca="1" si="17"/>
        <v>1947</v>
      </c>
      <c r="AM151" s="251" t="e">
        <f t="shared" ca="1" si="22"/>
        <v>#N/A</v>
      </c>
      <c r="AN151" s="251" t="e">
        <f t="shared" ca="1" si="19"/>
        <v>#N/A</v>
      </c>
      <c r="AO151" s="251" t="e">
        <f t="shared" ca="1" si="20"/>
        <v>#N/A</v>
      </c>
    </row>
    <row r="152" spans="1:41" x14ac:dyDescent="0.2">
      <c r="A152">
        <f t="shared" si="21"/>
        <v>6</v>
      </c>
      <c r="B152">
        <v>143</v>
      </c>
      <c r="C152" s="1078">
        <v>3</v>
      </c>
      <c r="D152" s="1077" t="s">
        <v>3912</v>
      </c>
      <c r="E152" s="1077" t="s">
        <v>4008</v>
      </c>
      <c r="F152" s="1185">
        <v>1</v>
      </c>
      <c r="G152" s="1178"/>
      <c r="H152" s="1178"/>
      <c r="I152" s="1178"/>
      <c r="J152" s="1178"/>
      <c r="K152" s="1178"/>
      <c r="L152" s="1178"/>
      <c r="M152" s="1178"/>
      <c r="N152" s="1178"/>
      <c r="O152" s="1178"/>
      <c r="P152" s="1178"/>
      <c r="Q152" s="1178"/>
      <c r="R152" s="1178"/>
      <c r="S152" s="1178"/>
      <c r="T152" s="1178"/>
      <c r="U152" s="1178"/>
      <c r="V152" s="1178"/>
      <c r="W152" s="1178">
        <v>10</v>
      </c>
      <c r="X152" s="1178">
        <v>4.5999999999999996</v>
      </c>
      <c r="Y152" s="1178">
        <v>9.3000000000000007</v>
      </c>
      <c r="Z152" s="1178">
        <v>3</v>
      </c>
      <c r="AA152" s="1178"/>
      <c r="AB152" s="1178"/>
      <c r="AC152" s="1178"/>
      <c r="AD152" s="1179"/>
      <c r="AH152" s="251">
        <v>113</v>
      </c>
      <c r="AI152" s="251" t="e">
        <f t="shared" si="18"/>
        <v>#N/A</v>
      </c>
      <c r="AJ152" s="251" t="e">
        <f t="shared" ca="1" si="16"/>
        <v>#N/A</v>
      </c>
      <c r="AL152" s="251">
        <f t="shared" ca="1" si="17"/>
        <v>1948</v>
      </c>
      <c r="AM152" s="251" t="e">
        <f t="shared" ca="1" si="22"/>
        <v>#N/A</v>
      </c>
      <c r="AN152" s="251" t="e">
        <f t="shared" ca="1" si="19"/>
        <v>#N/A</v>
      </c>
      <c r="AO152" s="251" t="e">
        <f t="shared" ca="1" si="20"/>
        <v>#N/A</v>
      </c>
    </row>
    <row r="153" spans="1:41" x14ac:dyDescent="0.2">
      <c r="A153">
        <f t="shared" si="21"/>
        <v>6</v>
      </c>
      <c r="B153">
        <v>144</v>
      </c>
      <c r="C153" s="1078">
        <v>3</v>
      </c>
      <c r="D153" s="1077" t="s">
        <v>3912</v>
      </c>
      <c r="E153" s="1077" t="s">
        <v>4009</v>
      </c>
      <c r="F153" s="1185">
        <v>1</v>
      </c>
      <c r="G153" s="1178"/>
      <c r="H153" s="1178"/>
      <c r="I153" s="1178"/>
      <c r="J153" s="1178"/>
      <c r="K153" s="1178"/>
      <c r="L153" s="1178"/>
      <c r="M153" s="1178"/>
      <c r="N153" s="1178"/>
      <c r="O153" s="1178"/>
      <c r="P153" s="1178"/>
      <c r="Q153" s="1178"/>
      <c r="R153" s="1178"/>
      <c r="S153" s="1178"/>
      <c r="T153" s="1178"/>
      <c r="U153" s="1178"/>
      <c r="V153" s="1178"/>
      <c r="W153" s="1178">
        <v>11.8</v>
      </c>
      <c r="X153" s="1178">
        <v>4.5999999999999996</v>
      </c>
      <c r="Y153" s="1178">
        <v>11</v>
      </c>
      <c r="Z153" s="1178">
        <v>3</v>
      </c>
      <c r="AA153" s="1178"/>
      <c r="AB153" s="1178"/>
      <c r="AC153" s="1178"/>
      <c r="AD153" s="1179"/>
      <c r="AH153" s="251">
        <v>114</v>
      </c>
      <c r="AI153" s="251" t="e">
        <f t="shared" si="18"/>
        <v>#N/A</v>
      </c>
      <c r="AJ153" s="251" t="e">
        <f t="shared" ca="1" si="16"/>
        <v>#N/A</v>
      </c>
      <c r="AL153" s="251">
        <f t="shared" ca="1" si="17"/>
        <v>1949</v>
      </c>
      <c r="AM153" s="251" t="e">
        <f t="shared" ca="1" si="22"/>
        <v>#N/A</v>
      </c>
      <c r="AN153" s="251" t="e">
        <f t="shared" ca="1" si="19"/>
        <v>#N/A</v>
      </c>
      <c r="AO153" s="251" t="e">
        <f t="shared" ca="1" si="20"/>
        <v>#N/A</v>
      </c>
    </row>
    <row r="154" spans="1:41" x14ac:dyDescent="0.2">
      <c r="A154">
        <f t="shared" si="21"/>
        <v>6</v>
      </c>
      <c r="B154">
        <v>145</v>
      </c>
      <c r="C154" s="1078">
        <v>3</v>
      </c>
      <c r="D154" s="1077" t="s">
        <v>3912</v>
      </c>
      <c r="E154" s="1077" t="s">
        <v>4010</v>
      </c>
      <c r="F154" s="1185">
        <v>1</v>
      </c>
      <c r="G154" s="1178"/>
      <c r="H154" s="1178"/>
      <c r="I154" s="1178"/>
      <c r="J154" s="1178"/>
      <c r="K154" s="1178"/>
      <c r="L154" s="1178"/>
      <c r="M154" s="1178"/>
      <c r="N154" s="1178"/>
      <c r="O154" s="1178"/>
      <c r="P154" s="1178"/>
      <c r="Q154" s="1178"/>
      <c r="R154" s="1178"/>
      <c r="S154" s="1178"/>
      <c r="T154" s="1178"/>
      <c r="U154" s="1178"/>
      <c r="V154" s="1178"/>
      <c r="W154" s="1178">
        <v>11.8</v>
      </c>
      <c r="X154" s="1178">
        <v>4.5999999999999996</v>
      </c>
      <c r="Y154" s="1178">
        <v>11</v>
      </c>
      <c r="Z154" s="1178">
        <v>3</v>
      </c>
      <c r="AA154" s="1178"/>
      <c r="AB154" s="1178"/>
      <c r="AC154" s="1178"/>
      <c r="AD154" s="1179"/>
      <c r="AH154" s="251">
        <v>115</v>
      </c>
      <c r="AI154" s="251" t="e">
        <f t="shared" si="18"/>
        <v>#N/A</v>
      </c>
      <c r="AJ154" s="251" t="e">
        <f t="shared" ca="1" si="16"/>
        <v>#N/A</v>
      </c>
      <c r="AL154" s="251">
        <f t="shared" ca="1" si="17"/>
        <v>1950</v>
      </c>
      <c r="AM154" s="251" t="e">
        <f t="shared" ca="1" si="22"/>
        <v>#N/A</v>
      </c>
      <c r="AN154" s="251" t="e">
        <f t="shared" ca="1" si="19"/>
        <v>#N/A</v>
      </c>
      <c r="AO154" s="251" t="e">
        <f t="shared" ca="1" si="20"/>
        <v>#N/A</v>
      </c>
    </row>
    <row r="155" spans="1:41" x14ac:dyDescent="0.2">
      <c r="A155">
        <f t="shared" si="21"/>
        <v>6</v>
      </c>
      <c r="B155">
        <v>146</v>
      </c>
      <c r="C155" s="1078">
        <v>3</v>
      </c>
      <c r="D155" s="1077" t="s">
        <v>3912</v>
      </c>
      <c r="E155" s="1077" t="s">
        <v>4011</v>
      </c>
      <c r="F155" s="1185">
        <v>1</v>
      </c>
      <c r="G155" s="1178"/>
      <c r="H155" s="1178"/>
      <c r="I155" s="1178"/>
      <c r="J155" s="1178"/>
      <c r="K155" s="1178"/>
      <c r="L155" s="1178"/>
      <c r="M155" s="1178"/>
      <c r="N155" s="1178"/>
      <c r="O155" s="1178"/>
      <c r="P155" s="1178"/>
      <c r="Q155" s="1178"/>
      <c r="R155" s="1178"/>
      <c r="S155" s="1178"/>
      <c r="T155" s="1178"/>
      <c r="U155" s="1178"/>
      <c r="V155" s="1178"/>
      <c r="W155" s="1178">
        <v>14.5</v>
      </c>
      <c r="X155" s="1178">
        <v>4.5</v>
      </c>
      <c r="Y155" s="1178">
        <v>13.4</v>
      </c>
      <c r="Z155" s="1178">
        <v>3</v>
      </c>
      <c r="AA155" s="1178"/>
      <c r="AB155" s="1178"/>
      <c r="AC155" s="1178"/>
      <c r="AD155" s="1179"/>
      <c r="AH155" s="251">
        <v>116</v>
      </c>
      <c r="AI155" s="251" t="e">
        <f t="shared" si="18"/>
        <v>#N/A</v>
      </c>
      <c r="AJ155" s="251" t="e">
        <f t="shared" ca="1" si="16"/>
        <v>#N/A</v>
      </c>
      <c r="AL155" s="251">
        <f t="shared" ca="1" si="17"/>
        <v>1951</v>
      </c>
      <c r="AM155" s="251" t="e">
        <f t="shared" ca="1" si="22"/>
        <v>#N/A</v>
      </c>
      <c r="AN155" s="251" t="e">
        <f t="shared" ca="1" si="19"/>
        <v>#N/A</v>
      </c>
      <c r="AO155" s="251" t="e">
        <f t="shared" ca="1" si="20"/>
        <v>#N/A</v>
      </c>
    </row>
    <row r="156" spans="1:41" x14ac:dyDescent="0.2">
      <c r="A156">
        <f t="shared" si="21"/>
        <v>6</v>
      </c>
      <c r="B156">
        <v>147</v>
      </c>
      <c r="C156" s="1078">
        <v>3</v>
      </c>
      <c r="D156" s="1077" t="s">
        <v>3912</v>
      </c>
      <c r="E156" s="1077" t="s">
        <v>4012</v>
      </c>
      <c r="F156" s="1185">
        <v>1</v>
      </c>
      <c r="G156" s="1178"/>
      <c r="H156" s="1178"/>
      <c r="I156" s="1178"/>
      <c r="J156" s="1178"/>
      <c r="K156" s="1178"/>
      <c r="L156" s="1178"/>
      <c r="M156" s="1178"/>
      <c r="N156" s="1178"/>
      <c r="O156" s="1178"/>
      <c r="P156" s="1178"/>
      <c r="Q156" s="1178"/>
      <c r="R156" s="1178"/>
      <c r="S156" s="1178"/>
      <c r="T156" s="1178"/>
      <c r="U156" s="1178"/>
      <c r="V156" s="1178"/>
      <c r="W156" s="1178">
        <v>16.8</v>
      </c>
      <c r="X156" s="1178">
        <v>4.5</v>
      </c>
      <c r="Y156" s="1178">
        <v>15.8</v>
      </c>
      <c r="Z156" s="1178">
        <v>3.1</v>
      </c>
      <c r="AA156" s="1178"/>
      <c r="AB156" s="1178"/>
      <c r="AC156" s="1178"/>
      <c r="AD156" s="1179"/>
      <c r="AH156" s="251">
        <v>117</v>
      </c>
      <c r="AI156" s="251" t="e">
        <f t="shared" si="18"/>
        <v>#N/A</v>
      </c>
      <c r="AJ156" s="251" t="e">
        <f t="shared" ca="1" si="16"/>
        <v>#N/A</v>
      </c>
      <c r="AL156" s="251">
        <f t="shared" ca="1" si="17"/>
        <v>1952</v>
      </c>
      <c r="AM156" s="251" t="e">
        <f t="shared" ca="1" si="22"/>
        <v>#N/A</v>
      </c>
      <c r="AN156" s="251" t="e">
        <f t="shared" ca="1" si="19"/>
        <v>#N/A</v>
      </c>
      <c r="AO156" s="251" t="e">
        <f t="shared" ca="1" si="20"/>
        <v>#N/A</v>
      </c>
    </row>
    <row r="157" spans="1:41" x14ac:dyDescent="0.2">
      <c r="A157">
        <f t="shared" si="21"/>
        <v>6</v>
      </c>
      <c r="B157">
        <v>148</v>
      </c>
      <c r="C157" s="1078">
        <v>3</v>
      </c>
      <c r="D157" s="1077" t="s">
        <v>3912</v>
      </c>
      <c r="E157" s="1077" t="s">
        <v>4013</v>
      </c>
      <c r="F157" s="1185">
        <v>3</v>
      </c>
      <c r="G157" s="1178"/>
      <c r="H157" s="1178"/>
      <c r="I157" s="1178"/>
      <c r="J157" s="1178"/>
      <c r="K157" s="1178"/>
      <c r="L157" s="1178"/>
      <c r="M157" s="1178"/>
      <c r="N157" s="1178"/>
      <c r="O157" s="1178"/>
      <c r="P157" s="1178"/>
      <c r="Q157" s="1178"/>
      <c r="R157" s="1178"/>
      <c r="S157" s="1178"/>
      <c r="T157" s="1178"/>
      <c r="U157" s="1178"/>
      <c r="V157" s="1178"/>
      <c r="W157" s="1178">
        <v>25</v>
      </c>
      <c r="X157" s="1178">
        <v>4.5999999999999996</v>
      </c>
      <c r="Y157" s="1178">
        <v>23.4</v>
      </c>
      <c r="Z157" s="1178">
        <v>3</v>
      </c>
      <c r="AA157" s="1178"/>
      <c r="AB157" s="1178"/>
      <c r="AC157" s="1178"/>
      <c r="AD157" s="1179"/>
      <c r="AH157" s="251">
        <v>118</v>
      </c>
      <c r="AI157" s="251" t="e">
        <f t="shared" si="18"/>
        <v>#N/A</v>
      </c>
      <c r="AJ157" s="251" t="e">
        <f t="shared" ca="1" si="16"/>
        <v>#N/A</v>
      </c>
      <c r="AL157" s="251">
        <f t="shared" ca="1" si="17"/>
        <v>1953</v>
      </c>
      <c r="AM157" s="251" t="e">
        <f t="shared" ca="1" si="22"/>
        <v>#N/A</v>
      </c>
      <c r="AN157" s="251" t="e">
        <f t="shared" ca="1" si="19"/>
        <v>#N/A</v>
      </c>
      <c r="AO157" s="251" t="e">
        <f t="shared" ca="1" si="20"/>
        <v>#N/A</v>
      </c>
    </row>
    <row r="158" spans="1:41" x14ac:dyDescent="0.2">
      <c r="A158">
        <f t="shared" si="21"/>
        <v>6</v>
      </c>
      <c r="B158">
        <v>149</v>
      </c>
      <c r="C158" s="1078">
        <v>3</v>
      </c>
      <c r="D158" s="1077" t="s">
        <v>3912</v>
      </c>
      <c r="E158" s="1077" t="s">
        <v>4014</v>
      </c>
      <c r="F158" s="1185">
        <v>3</v>
      </c>
      <c r="G158" s="1178"/>
      <c r="H158" s="1178"/>
      <c r="I158" s="1178"/>
      <c r="J158" s="1178"/>
      <c r="K158" s="1178"/>
      <c r="L158" s="1178"/>
      <c r="M158" s="1178"/>
      <c r="N158" s="1178"/>
      <c r="O158" s="1178"/>
      <c r="P158" s="1178"/>
      <c r="Q158" s="1178"/>
      <c r="R158" s="1178"/>
      <c r="S158" s="1178"/>
      <c r="T158" s="1178"/>
      <c r="U158" s="1178"/>
      <c r="V158" s="1178"/>
      <c r="W158" s="1178">
        <v>28.5</v>
      </c>
      <c r="X158" s="1178">
        <v>4.5999999999999996</v>
      </c>
      <c r="Y158" s="1178">
        <v>26.8</v>
      </c>
      <c r="Z158" s="1178">
        <v>3</v>
      </c>
      <c r="AA158" s="1178"/>
      <c r="AB158" s="1178"/>
      <c r="AC158" s="1178"/>
      <c r="AD158" s="1179"/>
      <c r="AH158" s="251">
        <v>119</v>
      </c>
      <c r="AI158" s="251" t="e">
        <f t="shared" si="18"/>
        <v>#N/A</v>
      </c>
      <c r="AJ158" s="251" t="e">
        <f t="shared" ca="1" si="16"/>
        <v>#N/A</v>
      </c>
      <c r="AL158" s="251">
        <f t="shared" ca="1" si="17"/>
        <v>1954</v>
      </c>
      <c r="AM158" s="251" t="e">
        <f t="shared" ca="1" si="22"/>
        <v>#N/A</v>
      </c>
      <c r="AN158" s="251" t="e">
        <f t="shared" ca="1" si="19"/>
        <v>#N/A</v>
      </c>
      <c r="AO158" s="251" t="e">
        <f t="shared" ca="1" si="20"/>
        <v>#N/A</v>
      </c>
    </row>
    <row r="159" spans="1:41" x14ac:dyDescent="0.2">
      <c r="A159">
        <f t="shared" si="21"/>
        <v>6</v>
      </c>
      <c r="B159">
        <v>150</v>
      </c>
      <c r="C159" s="1078">
        <v>3</v>
      </c>
      <c r="D159" s="1077" t="s">
        <v>3912</v>
      </c>
      <c r="E159" s="1077" t="s">
        <v>4015</v>
      </c>
      <c r="F159" s="1185">
        <v>3</v>
      </c>
      <c r="G159" s="1178"/>
      <c r="H159" s="1178"/>
      <c r="I159" s="1178"/>
      <c r="J159" s="1178"/>
      <c r="K159" s="1178"/>
      <c r="L159" s="1178"/>
      <c r="M159" s="1178"/>
      <c r="N159" s="1178"/>
      <c r="O159" s="1178"/>
      <c r="P159" s="1178"/>
      <c r="Q159" s="1178"/>
      <c r="R159" s="1178"/>
      <c r="S159" s="1178"/>
      <c r="T159" s="1178"/>
      <c r="U159" s="1178"/>
      <c r="V159" s="1178"/>
      <c r="W159" s="1178">
        <v>33.5</v>
      </c>
      <c r="X159" s="1178">
        <v>4.5</v>
      </c>
      <c r="Y159" s="1178">
        <v>31.7</v>
      </c>
      <c r="Z159" s="1178">
        <v>3.1</v>
      </c>
      <c r="AA159" s="1178"/>
      <c r="AB159" s="1178"/>
      <c r="AC159" s="1178"/>
      <c r="AD159" s="1179"/>
      <c r="AH159" s="251">
        <v>120</v>
      </c>
      <c r="AI159" s="251" t="e">
        <f t="shared" si="18"/>
        <v>#N/A</v>
      </c>
      <c r="AJ159" s="251" t="e">
        <f t="shared" ca="1" si="16"/>
        <v>#N/A</v>
      </c>
      <c r="AL159" s="251">
        <f t="shared" ca="1" si="17"/>
        <v>1955</v>
      </c>
      <c r="AM159" s="251" t="e">
        <f t="shared" ca="1" si="22"/>
        <v>#N/A</v>
      </c>
      <c r="AN159" s="251" t="e">
        <f t="shared" ca="1" si="19"/>
        <v>#N/A</v>
      </c>
      <c r="AO159" s="251" t="e">
        <f t="shared" ca="1" si="20"/>
        <v>#N/A</v>
      </c>
    </row>
    <row r="160" spans="1:41" x14ac:dyDescent="0.2">
      <c r="A160">
        <f t="shared" si="21"/>
        <v>7</v>
      </c>
      <c r="B160">
        <v>151</v>
      </c>
      <c r="C160" s="1078">
        <v>2</v>
      </c>
      <c r="D160" s="1077" t="s">
        <v>3599</v>
      </c>
      <c r="E160" s="1077" t="s">
        <v>4095</v>
      </c>
      <c r="F160" s="1185">
        <v>1</v>
      </c>
      <c r="G160" s="1178">
        <v>5.9</v>
      </c>
      <c r="H160" s="1178">
        <v>2.2999999999999998</v>
      </c>
      <c r="I160" s="1178">
        <v>7.3</v>
      </c>
      <c r="J160" s="1178">
        <v>3.1</v>
      </c>
      <c r="K160" s="1178">
        <v>9.5</v>
      </c>
      <c r="L160" s="1178">
        <v>4</v>
      </c>
      <c r="M160" s="1178">
        <v>11.3</v>
      </c>
      <c r="N160" s="1178">
        <v>4.7</v>
      </c>
      <c r="O160" s="1178">
        <v>13.6</v>
      </c>
      <c r="P160" s="1178">
        <v>5.3</v>
      </c>
      <c r="Q160" s="1178">
        <v>7.2</v>
      </c>
      <c r="R160" s="1178">
        <v>1.9</v>
      </c>
      <c r="S160" s="1178">
        <v>10</v>
      </c>
      <c r="T160" s="1178">
        <v>3</v>
      </c>
      <c r="U160" s="1178">
        <v>12.4</v>
      </c>
      <c r="V160" s="1178">
        <v>3.3</v>
      </c>
      <c r="W160" s="1178"/>
      <c r="X160" s="1178"/>
      <c r="Y160" s="1178"/>
      <c r="Z160" s="1178"/>
      <c r="AA160" s="1178"/>
      <c r="AB160" s="1178"/>
      <c r="AC160" s="1178"/>
      <c r="AD160" s="1179"/>
      <c r="AH160" s="251">
        <v>121</v>
      </c>
      <c r="AI160" s="251" t="e">
        <f t="shared" si="18"/>
        <v>#N/A</v>
      </c>
      <c r="AJ160" s="251" t="e">
        <f t="shared" ca="1" si="16"/>
        <v>#N/A</v>
      </c>
      <c r="AL160" s="251">
        <f t="shared" ca="1" si="17"/>
        <v>1956</v>
      </c>
      <c r="AM160" s="251" t="e">
        <f t="shared" ca="1" si="22"/>
        <v>#N/A</v>
      </c>
      <c r="AN160" s="251" t="e">
        <f t="shared" ca="1" si="19"/>
        <v>#N/A</v>
      </c>
      <c r="AO160" s="251" t="e">
        <f t="shared" ca="1" si="20"/>
        <v>#N/A</v>
      </c>
    </row>
    <row r="161" spans="1:41" x14ac:dyDescent="0.2">
      <c r="A161">
        <f t="shared" si="21"/>
        <v>7</v>
      </c>
      <c r="B161">
        <v>152</v>
      </c>
      <c r="C161" s="1078">
        <v>2</v>
      </c>
      <c r="D161" s="1077" t="s">
        <v>3599</v>
      </c>
      <c r="E161" s="1077" t="s">
        <v>4883</v>
      </c>
      <c r="F161" s="1185">
        <v>1</v>
      </c>
      <c r="G161" s="1178">
        <v>5.9</v>
      </c>
      <c r="H161" s="1178">
        <v>2.2999999999999998</v>
      </c>
      <c r="I161" s="1178">
        <v>7.3</v>
      </c>
      <c r="J161" s="1178">
        <v>3.1</v>
      </c>
      <c r="K161" s="1178">
        <v>9.5</v>
      </c>
      <c r="L161" s="1178">
        <v>4</v>
      </c>
      <c r="M161" s="1178">
        <v>11.3</v>
      </c>
      <c r="N161" s="1178">
        <v>4.7</v>
      </c>
      <c r="O161" s="1178">
        <v>13.6</v>
      </c>
      <c r="P161" s="1178">
        <v>5.3</v>
      </c>
      <c r="Q161" s="1178">
        <v>7.2</v>
      </c>
      <c r="R161" s="1178">
        <v>1.9</v>
      </c>
      <c r="S161" s="1178">
        <v>10</v>
      </c>
      <c r="T161" s="1178">
        <v>3</v>
      </c>
      <c r="U161" s="1178">
        <v>12.4</v>
      </c>
      <c r="V161" s="1178">
        <v>3.3</v>
      </c>
      <c r="W161" s="1178"/>
      <c r="X161" s="1178"/>
      <c r="Y161" s="1178"/>
      <c r="Z161" s="1178"/>
      <c r="AA161" s="1178"/>
      <c r="AB161" s="1178"/>
      <c r="AC161" s="1178"/>
      <c r="AD161" s="1179"/>
      <c r="AH161" s="251">
        <v>122</v>
      </c>
      <c r="AI161" s="251" t="e">
        <f t="shared" si="18"/>
        <v>#N/A</v>
      </c>
      <c r="AJ161" s="251" t="e">
        <f t="shared" ca="1" si="16"/>
        <v>#N/A</v>
      </c>
      <c r="AL161" s="251">
        <f t="shared" ca="1" si="17"/>
        <v>1957</v>
      </c>
      <c r="AM161" s="251" t="e">
        <f t="shared" ca="1" si="22"/>
        <v>#N/A</v>
      </c>
      <c r="AN161" s="251" t="e">
        <f t="shared" ca="1" si="19"/>
        <v>#N/A</v>
      </c>
      <c r="AO161" s="251" t="e">
        <f t="shared" ca="1" si="20"/>
        <v>#N/A</v>
      </c>
    </row>
    <row r="162" spans="1:41" x14ac:dyDescent="0.2">
      <c r="A162">
        <f t="shared" si="21"/>
        <v>7</v>
      </c>
      <c r="B162">
        <v>153</v>
      </c>
      <c r="C162" s="1078">
        <v>2</v>
      </c>
      <c r="D162" s="1077" t="s">
        <v>3599</v>
      </c>
      <c r="E162" s="1077" t="s">
        <v>4089</v>
      </c>
      <c r="F162" s="1185">
        <v>2</v>
      </c>
      <c r="G162" s="1178">
        <v>8.4</v>
      </c>
      <c r="H162" s="1178">
        <v>2.1</v>
      </c>
      <c r="I162" s="1178">
        <v>10.6</v>
      </c>
      <c r="J162" s="1178">
        <v>3.2</v>
      </c>
      <c r="K162" s="1178">
        <v>12.3</v>
      </c>
      <c r="L162" s="1178">
        <v>3.8</v>
      </c>
      <c r="M162" s="1178">
        <v>14.8</v>
      </c>
      <c r="N162" s="1178">
        <v>4.8</v>
      </c>
      <c r="O162" s="1178">
        <v>19.2</v>
      </c>
      <c r="P162" s="1178">
        <v>6.4</v>
      </c>
      <c r="Q162" s="1178">
        <v>10.5</v>
      </c>
      <c r="R162" s="1178">
        <v>2.1</v>
      </c>
      <c r="S162" s="1178">
        <v>14.5</v>
      </c>
      <c r="T162" s="1178">
        <v>3</v>
      </c>
      <c r="U162" s="1178">
        <v>18.399999999999999</v>
      </c>
      <c r="V162" s="1178">
        <v>3.9</v>
      </c>
      <c r="W162" s="1178"/>
      <c r="X162" s="1178"/>
      <c r="Y162" s="1178"/>
      <c r="Z162" s="1178"/>
      <c r="AA162" s="1178"/>
      <c r="AB162" s="1178"/>
      <c r="AC162" s="1178"/>
      <c r="AD162" s="1179"/>
      <c r="AH162" s="251">
        <v>123</v>
      </c>
      <c r="AI162" s="251" t="e">
        <f t="shared" si="18"/>
        <v>#N/A</v>
      </c>
      <c r="AJ162" s="251" t="e">
        <f t="shared" ca="1" si="16"/>
        <v>#N/A</v>
      </c>
      <c r="AL162" s="251">
        <f t="shared" ca="1" si="17"/>
        <v>1958</v>
      </c>
      <c r="AM162" s="251" t="e">
        <f t="shared" ca="1" si="22"/>
        <v>#N/A</v>
      </c>
      <c r="AN162" s="251" t="e">
        <f t="shared" ca="1" si="19"/>
        <v>#N/A</v>
      </c>
      <c r="AO162" s="251" t="e">
        <f t="shared" ca="1" si="20"/>
        <v>#N/A</v>
      </c>
    </row>
    <row r="163" spans="1:41" x14ac:dyDescent="0.2">
      <c r="A163">
        <f t="shared" si="21"/>
        <v>7</v>
      </c>
      <c r="B163">
        <v>154</v>
      </c>
      <c r="C163" s="1078">
        <v>2</v>
      </c>
      <c r="D163" s="1077" t="s">
        <v>3599</v>
      </c>
      <c r="E163" s="1077" t="s">
        <v>4882</v>
      </c>
      <c r="F163" s="1185">
        <v>2</v>
      </c>
      <c r="G163" s="1178">
        <v>8.4</v>
      </c>
      <c r="H163" s="1178">
        <v>2.1</v>
      </c>
      <c r="I163" s="1178">
        <v>10.6</v>
      </c>
      <c r="J163" s="1178">
        <v>3.2</v>
      </c>
      <c r="K163" s="1178">
        <v>12.3</v>
      </c>
      <c r="L163" s="1178">
        <v>3.8</v>
      </c>
      <c r="M163" s="1178">
        <v>14.8</v>
      </c>
      <c r="N163" s="1178">
        <v>4.8</v>
      </c>
      <c r="O163" s="1178">
        <v>19.2</v>
      </c>
      <c r="P163" s="1178">
        <v>6.4</v>
      </c>
      <c r="Q163" s="1178">
        <v>10.5</v>
      </c>
      <c r="R163" s="1178">
        <v>2.1</v>
      </c>
      <c r="S163" s="1178">
        <v>14.5</v>
      </c>
      <c r="T163" s="1178">
        <v>3</v>
      </c>
      <c r="U163" s="1178">
        <v>18.399999999999999</v>
      </c>
      <c r="V163" s="1178">
        <v>3.9</v>
      </c>
      <c r="W163" s="1178"/>
      <c r="X163" s="1178"/>
      <c r="Y163" s="1178"/>
      <c r="Z163" s="1178"/>
      <c r="AA163" s="1178"/>
      <c r="AB163" s="1178"/>
      <c r="AC163" s="1178"/>
      <c r="AD163" s="1179"/>
      <c r="AH163" s="251">
        <v>124</v>
      </c>
      <c r="AI163" s="251" t="e">
        <f t="shared" si="18"/>
        <v>#N/A</v>
      </c>
      <c r="AJ163" s="251" t="e">
        <f t="shared" ca="1" si="16"/>
        <v>#N/A</v>
      </c>
      <c r="AL163" s="251">
        <f t="shared" ca="1" si="17"/>
        <v>1959</v>
      </c>
      <c r="AM163" s="251" t="e">
        <f t="shared" ca="1" si="22"/>
        <v>#N/A</v>
      </c>
      <c r="AN163" s="251" t="e">
        <f t="shared" ca="1" si="19"/>
        <v>#N/A</v>
      </c>
      <c r="AO163" s="251" t="e">
        <f t="shared" ca="1" si="20"/>
        <v>#N/A</v>
      </c>
    </row>
    <row r="164" spans="1:41" x14ac:dyDescent="0.2">
      <c r="A164">
        <f t="shared" si="21"/>
        <v>7</v>
      </c>
      <c r="B164">
        <v>155</v>
      </c>
      <c r="C164" s="1078">
        <v>2</v>
      </c>
      <c r="D164" s="1077" t="s">
        <v>3599</v>
      </c>
      <c r="E164" s="1077" t="s">
        <v>4884</v>
      </c>
      <c r="F164" s="1185">
        <v>2</v>
      </c>
      <c r="G164" s="1178">
        <v>12</v>
      </c>
      <c r="H164" s="1178">
        <v>2.2000000000000002</v>
      </c>
      <c r="I164" s="1178">
        <v>16.3</v>
      </c>
      <c r="J164" s="1178">
        <v>3</v>
      </c>
      <c r="K164" s="1178">
        <v>19.5</v>
      </c>
      <c r="L164" s="1178">
        <v>3.7</v>
      </c>
      <c r="M164" s="1178">
        <v>24.5</v>
      </c>
      <c r="N164" s="1178">
        <v>4.3</v>
      </c>
      <c r="O164" s="1178">
        <v>27.8</v>
      </c>
      <c r="P164" s="1178">
        <v>4.7</v>
      </c>
      <c r="Q164" s="1178">
        <v>15</v>
      </c>
      <c r="R164" s="1178">
        <v>1.9</v>
      </c>
      <c r="S164" s="1178">
        <v>22.1</v>
      </c>
      <c r="T164" s="1178">
        <v>2.7</v>
      </c>
      <c r="U164" s="1178">
        <v>26.1</v>
      </c>
      <c r="V164" s="1178">
        <v>3.3</v>
      </c>
      <c r="W164" s="1178"/>
      <c r="X164" s="1178"/>
      <c r="Y164" s="1178"/>
      <c r="Z164" s="1178"/>
      <c r="AA164" s="1178"/>
      <c r="AB164" s="1178"/>
      <c r="AC164" s="1178"/>
      <c r="AD164" s="1179"/>
      <c r="AH164" s="251">
        <v>125</v>
      </c>
      <c r="AI164" s="251" t="e">
        <f t="shared" si="18"/>
        <v>#N/A</v>
      </c>
      <c r="AJ164" s="251" t="e">
        <f t="shared" ca="1" si="16"/>
        <v>#N/A</v>
      </c>
      <c r="AL164" s="251">
        <f t="shared" ca="1" si="17"/>
        <v>1960</v>
      </c>
      <c r="AM164" s="251" t="e">
        <f t="shared" ca="1" si="22"/>
        <v>#N/A</v>
      </c>
      <c r="AN164" s="251" t="e">
        <f t="shared" ca="1" si="19"/>
        <v>#N/A</v>
      </c>
      <c r="AO164" s="251" t="e">
        <f t="shared" ca="1" si="20"/>
        <v>#N/A</v>
      </c>
    </row>
    <row r="165" spans="1:41" x14ac:dyDescent="0.2">
      <c r="A165">
        <f t="shared" si="21"/>
        <v>7</v>
      </c>
      <c r="B165">
        <v>156</v>
      </c>
      <c r="C165" s="1078">
        <v>2</v>
      </c>
      <c r="D165" s="1077" t="s">
        <v>3599</v>
      </c>
      <c r="E165" s="1077" t="s">
        <v>4816</v>
      </c>
      <c r="F165" s="1185">
        <v>2</v>
      </c>
      <c r="G165" s="1178">
        <v>18.5</v>
      </c>
      <c r="H165" s="1178">
        <v>2.78</v>
      </c>
      <c r="I165" s="1178">
        <v>22.3</v>
      </c>
      <c r="J165" s="1178">
        <v>3.1</v>
      </c>
      <c r="K165" s="1178">
        <v>14.21</v>
      </c>
      <c r="L165" s="1178">
        <v>3.59</v>
      </c>
      <c r="M165" s="1178">
        <v>17.63</v>
      </c>
      <c r="N165" s="1178">
        <v>4.33</v>
      </c>
      <c r="O165" s="1178">
        <v>23.5</v>
      </c>
      <c r="P165" s="1178">
        <v>5.35</v>
      </c>
      <c r="Q165" s="1178">
        <v>21.8</v>
      </c>
      <c r="R165" s="1178">
        <v>2.34</v>
      </c>
      <c r="S165" s="1178">
        <v>17.37</v>
      </c>
      <c r="T165" s="1178">
        <v>3.11</v>
      </c>
      <c r="U165" s="1178">
        <v>21.73</v>
      </c>
      <c r="V165" s="1178">
        <v>3.9</v>
      </c>
      <c r="W165" s="1178"/>
      <c r="X165" s="1178"/>
      <c r="Y165" s="1178"/>
      <c r="Z165" s="1178"/>
      <c r="AA165" s="1178"/>
      <c r="AB165" s="1178"/>
      <c r="AC165" s="1178"/>
      <c r="AD165" s="1179"/>
      <c r="AH165" s="251">
        <v>126</v>
      </c>
      <c r="AI165" s="251" t="e">
        <f t="shared" si="18"/>
        <v>#N/A</v>
      </c>
      <c r="AJ165" s="251" t="e">
        <f t="shared" ca="1" si="16"/>
        <v>#N/A</v>
      </c>
      <c r="AL165" s="251">
        <f t="shared" ca="1" si="17"/>
        <v>1961</v>
      </c>
      <c r="AM165" s="251" t="e">
        <f t="shared" ca="1" si="22"/>
        <v>#N/A</v>
      </c>
      <c r="AN165" s="251" t="e">
        <f t="shared" ca="1" si="19"/>
        <v>#N/A</v>
      </c>
      <c r="AO165" s="251" t="e">
        <f t="shared" ca="1" si="20"/>
        <v>#N/A</v>
      </c>
    </row>
    <row r="166" spans="1:41" x14ac:dyDescent="0.2">
      <c r="A166">
        <f t="shared" si="21"/>
        <v>7</v>
      </c>
      <c r="B166">
        <v>157</v>
      </c>
      <c r="C166" s="1078">
        <v>2</v>
      </c>
      <c r="D166" s="1077" t="s">
        <v>3599</v>
      </c>
      <c r="E166" s="1077" t="s">
        <v>4885</v>
      </c>
      <c r="F166" s="1185">
        <v>2</v>
      </c>
      <c r="G166" s="1178">
        <v>18.600000000000001</v>
      </c>
      <c r="H166" s="1178">
        <v>2.2999999999999998</v>
      </c>
      <c r="I166" s="1178">
        <v>22.6</v>
      </c>
      <c r="J166" s="1178">
        <v>2.9</v>
      </c>
      <c r="K166" s="1178">
        <v>27.6</v>
      </c>
      <c r="L166" s="1178">
        <v>3.6</v>
      </c>
      <c r="M166" s="1178">
        <v>32.700000000000003</v>
      </c>
      <c r="N166" s="1178">
        <v>4.0999999999999996</v>
      </c>
      <c r="O166" s="1178">
        <v>43.5</v>
      </c>
      <c r="P166" s="1178">
        <v>5</v>
      </c>
      <c r="Q166" s="1178">
        <v>21.2</v>
      </c>
      <c r="R166" s="1178">
        <v>1.7</v>
      </c>
      <c r="S166" s="1178">
        <v>31.6</v>
      </c>
      <c r="T166" s="1178">
        <v>2.7</v>
      </c>
      <c r="U166" s="1178">
        <v>40.799999999999997</v>
      </c>
      <c r="V166" s="1178">
        <v>3.3</v>
      </c>
      <c r="W166" s="1178"/>
      <c r="X166" s="1178"/>
      <c r="Y166" s="1178"/>
      <c r="Z166" s="1178"/>
      <c r="AA166" s="1178"/>
      <c r="AB166" s="1178"/>
      <c r="AC166" s="1178"/>
      <c r="AD166" s="1179"/>
      <c r="AH166" s="251">
        <v>127</v>
      </c>
      <c r="AI166" s="251" t="e">
        <f t="shared" si="18"/>
        <v>#N/A</v>
      </c>
      <c r="AJ166" s="251" t="e">
        <f t="shared" ca="1" si="16"/>
        <v>#N/A</v>
      </c>
      <c r="AL166" s="251">
        <f t="shared" ca="1" si="17"/>
        <v>1962</v>
      </c>
      <c r="AM166" s="251" t="e">
        <f t="shared" ca="1" si="22"/>
        <v>#N/A</v>
      </c>
      <c r="AN166" s="251" t="e">
        <f t="shared" ca="1" si="19"/>
        <v>#N/A</v>
      </c>
      <c r="AO166" s="251" t="e">
        <f t="shared" ca="1" si="20"/>
        <v>#N/A</v>
      </c>
    </row>
    <row r="167" spans="1:41" x14ac:dyDescent="0.2">
      <c r="A167">
        <f t="shared" si="21"/>
        <v>7</v>
      </c>
      <c r="B167">
        <v>158</v>
      </c>
      <c r="C167" s="1078">
        <v>2</v>
      </c>
      <c r="D167" s="1077" t="s">
        <v>3599</v>
      </c>
      <c r="E167" s="1077" t="s">
        <v>4817</v>
      </c>
      <c r="F167" s="1185">
        <v>2</v>
      </c>
      <c r="G167" s="1178">
        <v>31.7</v>
      </c>
      <c r="H167" s="1178">
        <v>2.6</v>
      </c>
      <c r="I167" s="1178">
        <v>38</v>
      </c>
      <c r="J167" s="1178">
        <v>3</v>
      </c>
      <c r="K167" s="1178">
        <v>26.6</v>
      </c>
      <c r="L167" s="1178">
        <v>3.6</v>
      </c>
      <c r="M167" s="1178">
        <v>35.299999999999997</v>
      </c>
      <c r="N167" s="1178">
        <v>4.5</v>
      </c>
      <c r="O167" s="1178">
        <v>44.4</v>
      </c>
      <c r="P167" s="1178">
        <v>5.25</v>
      </c>
      <c r="Q167" s="1178">
        <v>36.799999999999997</v>
      </c>
      <c r="R167" s="1178">
        <v>2.2999999999999998</v>
      </c>
      <c r="S167" s="1178">
        <v>31.7</v>
      </c>
      <c r="T167" s="1178">
        <v>3.2</v>
      </c>
      <c r="U167" s="1178">
        <v>40.5</v>
      </c>
      <c r="V167" s="1178">
        <v>3.9</v>
      </c>
      <c r="W167" s="1178"/>
      <c r="X167" s="1178"/>
      <c r="Y167" s="1178"/>
      <c r="Z167" s="1178"/>
      <c r="AA167" s="1178"/>
      <c r="AB167" s="1178"/>
      <c r="AC167" s="1178"/>
      <c r="AD167" s="1179"/>
      <c r="AH167" s="251">
        <v>128</v>
      </c>
      <c r="AI167" s="251" t="e">
        <f t="shared" si="18"/>
        <v>#N/A</v>
      </c>
      <c r="AJ167" s="251" t="e">
        <f t="shared" ca="1" si="16"/>
        <v>#N/A</v>
      </c>
      <c r="AL167" s="251">
        <f t="shared" ca="1" si="17"/>
        <v>1963</v>
      </c>
      <c r="AM167" s="251" t="e">
        <f t="shared" ca="1" si="22"/>
        <v>#N/A</v>
      </c>
      <c r="AN167" s="251" t="e">
        <f t="shared" ca="1" si="19"/>
        <v>#N/A</v>
      </c>
      <c r="AO167" s="251" t="e">
        <f t="shared" ca="1" si="20"/>
        <v>#N/A</v>
      </c>
    </row>
    <row r="168" spans="1:41" x14ac:dyDescent="0.2">
      <c r="A168">
        <f t="shared" si="21"/>
        <v>7</v>
      </c>
      <c r="B168">
        <v>159</v>
      </c>
      <c r="C168" s="1078">
        <v>2</v>
      </c>
      <c r="D168" s="1077" t="s">
        <v>3599</v>
      </c>
      <c r="E168" s="1077" t="s">
        <v>4818</v>
      </c>
      <c r="F168" s="1185">
        <v>2</v>
      </c>
      <c r="G168" s="1178">
        <v>31.7</v>
      </c>
      <c r="H168" s="1178">
        <v>2.6</v>
      </c>
      <c r="I168" s="1178">
        <v>38</v>
      </c>
      <c r="J168" s="1178">
        <v>3</v>
      </c>
      <c r="K168" s="1178">
        <v>26.6</v>
      </c>
      <c r="L168" s="1178">
        <v>3.6</v>
      </c>
      <c r="M168" s="1178">
        <v>35.299999999999997</v>
      </c>
      <c r="N168" s="1178">
        <v>4.5</v>
      </c>
      <c r="O168" s="1178">
        <v>44.4</v>
      </c>
      <c r="P168" s="1178">
        <v>5.25</v>
      </c>
      <c r="Q168" s="1178">
        <v>36.799999999999997</v>
      </c>
      <c r="R168" s="1178">
        <v>2.2999999999999998</v>
      </c>
      <c r="S168" s="1178">
        <v>31.7</v>
      </c>
      <c r="T168" s="1178">
        <v>3.2</v>
      </c>
      <c r="U168" s="1178">
        <v>40.5</v>
      </c>
      <c r="V168" s="1178">
        <v>3.9</v>
      </c>
      <c r="W168" s="1178"/>
      <c r="X168" s="1178"/>
      <c r="Y168" s="1178"/>
      <c r="Z168" s="1178"/>
      <c r="AA168" s="1178"/>
      <c r="AB168" s="1178"/>
      <c r="AC168" s="1178"/>
      <c r="AD168" s="1179"/>
      <c r="AH168" s="251">
        <v>129</v>
      </c>
      <c r="AI168" s="251" t="e">
        <f t="shared" ref="AI168:AI199" si="23">MATCH(AH168,$A$10:$A$2000,0)</f>
        <v>#N/A</v>
      </c>
      <c r="AJ168" s="251" t="e">
        <f t="shared" ca="1" si="16"/>
        <v>#N/A</v>
      </c>
      <c r="AL168" s="251">
        <f t="shared" ca="1" si="17"/>
        <v>1964</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x14ac:dyDescent="0.2">
      <c r="A169">
        <f t="shared" si="21"/>
        <v>7</v>
      </c>
      <c r="B169">
        <v>160</v>
      </c>
      <c r="C169" s="1078">
        <v>2</v>
      </c>
      <c r="D169" s="1077" t="s">
        <v>3599</v>
      </c>
      <c r="E169" s="1077" t="s">
        <v>4878</v>
      </c>
      <c r="F169" s="1185">
        <v>1</v>
      </c>
      <c r="G169" s="1178">
        <v>3</v>
      </c>
      <c r="H169" s="1178">
        <v>2.2000000000000002</v>
      </c>
      <c r="I169" s="1178">
        <v>3.9</v>
      </c>
      <c r="J169" s="1178">
        <v>2.9</v>
      </c>
      <c r="K169" s="1178">
        <v>5.0999999999999996</v>
      </c>
      <c r="L169" s="1178">
        <v>3.8</v>
      </c>
      <c r="M169" s="1178">
        <v>6.4</v>
      </c>
      <c r="N169" s="1178">
        <v>4.5999999999999996</v>
      </c>
      <c r="O169" s="1178">
        <v>8</v>
      </c>
      <c r="P169" s="1178">
        <v>5.7</v>
      </c>
      <c r="Q169" s="1178">
        <v>3.6</v>
      </c>
      <c r="R169" s="1178">
        <v>1.8</v>
      </c>
      <c r="S169" s="1178">
        <v>5.7</v>
      </c>
      <c r="T169" s="1178">
        <v>2.7</v>
      </c>
      <c r="U169" s="1178">
        <v>7.3</v>
      </c>
      <c r="V169" s="1178">
        <v>3.4</v>
      </c>
      <c r="W169" s="1178"/>
      <c r="X169" s="1178"/>
      <c r="Y169" s="1178"/>
      <c r="Z169" s="1178"/>
      <c r="AA169" s="1178"/>
      <c r="AB169" s="1178"/>
      <c r="AC169" s="1178"/>
      <c r="AD169" s="1179"/>
      <c r="AH169" s="251">
        <v>130</v>
      </c>
      <c r="AI169" s="251" t="e">
        <f t="shared" si="23"/>
        <v>#N/A</v>
      </c>
      <c r="AJ169" s="251" t="e">
        <f t="shared" ref="AJ169:AJ232" ca="1" si="26">OFFSET($D$9,AI169,0)</f>
        <v>#N/A</v>
      </c>
      <c r="AL169" s="251">
        <f t="shared" ca="1" si="17"/>
        <v>1965</v>
      </c>
      <c r="AM169" s="251" t="e">
        <f t="shared" ca="1" si="22"/>
        <v>#N/A</v>
      </c>
      <c r="AN169" s="251" t="e">
        <f t="shared" ca="1" si="24"/>
        <v>#N/A</v>
      </c>
      <c r="AO169" s="251" t="e">
        <f t="shared" ca="1" si="25"/>
        <v>#N/A</v>
      </c>
    </row>
    <row r="170" spans="1:41" x14ac:dyDescent="0.2">
      <c r="A170">
        <f t="shared" si="21"/>
        <v>7</v>
      </c>
      <c r="B170">
        <v>161</v>
      </c>
      <c r="C170" s="1078">
        <v>2</v>
      </c>
      <c r="D170" s="1077" t="s">
        <v>3599</v>
      </c>
      <c r="E170" s="1077" t="s">
        <v>4879</v>
      </c>
      <c r="F170" s="1185">
        <v>1</v>
      </c>
      <c r="G170" s="1178">
        <v>3</v>
      </c>
      <c r="H170" s="1178">
        <v>2.2000000000000002</v>
      </c>
      <c r="I170" s="1178">
        <v>3.9</v>
      </c>
      <c r="J170" s="1178">
        <v>2.9</v>
      </c>
      <c r="K170" s="1178">
        <v>5.0999999999999996</v>
      </c>
      <c r="L170" s="1178">
        <v>3.8</v>
      </c>
      <c r="M170" s="1178">
        <v>6.4</v>
      </c>
      <c r="N170" s="1178">
        <v>4.5999999999999996</v>
      </c>
      <c r="O170" s="1178">
        <v>8</v>
      </c>
      <c r="P170" s="1178">
        <v>5.7</v>
      </c>
      <c r="Q170" s="1178">
        <v>3.6</v>
      </c>
      <c r="R170" s="1178">
        <v>1.8</v>
      </c>
      <c r="S170" s="1178">
        <v>5.7</v>
      </c>
      <c r="T170" s="1178">
        <v>2.7</v>
      </c>
      <c r="U170" s="1178">
        <v>7.3</v>
      </c>
      <c r="V170" s="1178">
        <v>3.4</v>
      </c>
      <c r="W170" s="1178"/>
      <c r="X170" s="1178"/>
      <c r="Y170" s="1178"/>
      <c r="Z170" s="1178"/>
      <c r="AA170" s="1178"/>
      <c r="AB170" s="1178"/>
      <c r="AC170" s="1178"/>
      <c r="AD170" s="1179"/>
      <c r="AH170" s="251">
        <v>131</v>
      </c>
      <c r="AI170" s="251" t="e">
        <f t="shared" si="23"/>
        <v>#N/A</v>
      </c>
      <c r="AJ170" s="251" t="e">
        <f t="shared" ca="1" si="26"/>
        <v>#N/A</v>
      </c>
      <c r="AL170" s="251">
        <f t="shared" ref="AL170:AL233" ca="1" si="27">AL169+1</f>
        <v>1966</v>
      </c>
      <c r="AM170" s="251" t="e">
        <f t="shared" ca="1" si="22"/>
        <v>#N/A</v>
      </c>
      <c r="AN170" s="251" t="e">
        <f t="shared" ca="1" si="24"/>
        <v>#N/A</v>
      </c>
      <c r="AO170" s="251" t="e">
        <f t="shared" ca="1" si="25"/>
        <v>#N/A</v>
      </c>
    </row>
    <row r="171" spans="1:41" x14ac:dyDescent="0.2">
      <c r="A171">
        <f t="shared" si="21"/>
        <v>7</v>
      </c>
      <c r="B171">
        <v>162</v>
      </c>
      <c r="C171" s="1078">
        <v>2</v>
      </c>
      <c r="D171" s="1077" t="s">
        <v>3599</v>
      </c>
      <c r="E171" s="1077" t="s">
        <v>4088</v>
      </c>
      <c r="F171" s="1185">
        <v>1</v>
      </c>
      <c r="G171" s="1178">
        <v>4.3</v>
      </c>
      <c r="H171" s="1178">
        <v>2.6</v>
      </c>
      <c r="I171" s="1178">
        <v>5.5</v>
      </c>
      <c r="J171" s="1178">
        <v>3.2</v>
      </c>
      <c r="K171" s="1178">
        <v>7.2</v>
      </c>
      <c r="L171" s="1178">
        <v>4.2</v>
      </c>
      <c r="M171" s="1178">
        <v>8.4</v>
      </c>
      <c r="N171" s="1178">
        <v>4.8</v>
      </c>
      <c r="O171" s="1178">
        <v>11.3</v>
      </c>
      <c r="P171" s="1178">
        <v>6.7</v>
      </c>
      <c r="Q171" s="1178">
        <v>5.3</v>
      </c>
      <c r="R171" s="1178">
        <v>2.1</v>
      </c>
      <c r="S171" s="1178">
        <v>8</v>
      </c>
      <c r="T171" s="1178">
        <v>3.1</v>
      </c>
      <c r="U171" s="1178">
        <v>9.5</v>
      </c>
      <c r="V171" s="1178">
        <v>3.7</v>
      </c>
      <c r="W171" s="1178"/>
      <c r="X171" s="1178"/>
      <c r="Y171" s="1178"/>
      <c r="Z171" s="1178"/>
      <c r="AA171" s="1178"/>
      <c r="AB171" s="1178"/>
      <c r="AC171" s="1178"/>
      <c r="AD171" s="1179"/>
      <c r="AH171" s="251">
        <v>132</v>
      </c>
      <c r="AI171" s="251" t="e">
        <f t="shared" si="23"/>
        <v>#N/A</v>
      </c>
      <c r="AJ171" s="251" t="e">
        <f t="shared" ca="1" si="26"/>
        <v>#N/A</v>
      </c>
      <c r="AL171" s="251">
        <f t="shared" ca="1" si="27"/>
        <v>1967</v>
      </c>
      <c r="AM171" s="251" t="e">
        <f t="shared" ca="1" si="22"/>
        <v>#N/A</v>
      </c>
      <c r="AN171" s="251" t="e">
        <f t="shared" ca="1" si="24"/>
        <v>#N/A</v>
      </c>
      <c r="AO171" s="251" t="e">
        <f t="shared" ca="1" si="25"/>
        <v>#N/A</v>
      </c>
    </row>
    <row r="172" spans="1:41" x14ac:dyDescent="0.2">
      <c r="A172">
        <f t="shared" si="21"/>
        <v>7</v>
      </c>
      <c r="B172">
        <v>163</v>
      </c>
      <c r="C172" s="1078">
        <v>2</v>
      </c>
      <c r="D172" s="1077" t="s">
        <v>3599</v>
      </c>
      <c r="E172" s="1077" t="s">
        <v>4881</v>
      </c>
      <c r="F172" s="1185">
        <v>1</v>
      </c>
      <c r="G172" s="1178">
        <v>4.3</v>
      </c>
      <c r="H172" s="1178">
        <v>2.6</v>
      </c>
      <c r="I172" s="1178">
        <v>5.5</v>
      </c>
      <c r="J172" s="1178">
        <v>3.2</v>
      </c>
      <c r="K172" s="1178">
        <v>7.2</v>
      </c>
      <c r="L172" s="1178">
        <v>4.2</v>
      </c>
      <c r="M172" s="1178">
        <v>8.4</v>
      </c>
      <c r="N172" s="1178">
        <v>4.8</v>
      </c>
      <c r="O172" s="1178">
        <v>11.3</v>
      </c>
      <c r="P172" s="1178">
        <v>6.7</v>
      </c>
      <c r="Q172" s="1178">
        <v>5.3</v>
      </c>
      <c r="R172" s="1178">
        <v>2.1</v>
      </c>
      <c r="S172" s="1178">
        <v>8</v>
      </c>
      <c r="T172" s="1178">
        <v>3.1</v>
      </c>
      <c r="U172" s="1178">
        <v>9.5</v>
      </c>
      <c r="V172" s="1178">
        <v>3.7</v>
      </c>
      <c r="W172" s="1178"/>
      <c r="X172" s="1178"/>
      <c r="Y172" s="1178"/>
      <c r="Z172" s="1178"/>
      <c r="AA172" s="1178"/>
      <c r="AB172" s="1178"/>
      <c r="AC172" s="1178"/>
      <c r="AD172" s="1179"/>
      <c r="AH172" s="251">
        <v>133</v>
      </c>
      <c r="AI172" s="251" t="e">
        <f t="shared" si="23"/>
        <v>#N/A</v>
      </c>
      <c r="AJ172" s="251" t="e">
        <f t="shared" ca="1" si="26"/>
        <v>#N/A</v>
      </c>
      <c r="AL172" s="251">
        <f t="shared" ca="1" si="27"/>
        <v>1968</v>
      </c>
      <c r="AM172" s="251" t="e">
        <f t="shared" ca="1" si="22"/>
        <v>#N/A</v>
      </c>
      <c r="AN172" s="251" t="e">
        <f t="shared" ca="1" si="24"/>
        <v>#N/A</v>
      </c>
      <c r="AO172" s="251" t="e">
        <f t="shared" ca="1" si="25"/>
        <v>#N/A</v>
      </c>
    </row>
    <row r="173" spans="1:41" x14ac:dyDescent="0.2">
      <c r="A173">
        <f t="shared" si="21"/>
        <v>7</v>
      </c>
      <c r="B173">
        <v>164</v>
      </c>
      <c r="C173" s="1078">
        <v>2</v>
      </c>
      <c r="D173" s="1077" t="s">
        <v>3599</v>
      </c>
      <c r="E173" s="1077" t="s">
        <v>4091</v>
      </c>
      <c r="F173" s="1185">
        <v>1</v>
      </c>
      <c r="G173" s="1178">
        <v>5.7</v>
      </c>
      <c r="H173" s="1178">
        <v>2.5</v>
      </c>
      <c r="I173" s="1178">
        <v>7</v>
      </c>
      <c r="J173" s="1178">
        <v>3</v>
      </c>
      <c r="K173" s="1178">
        <v>8.3000000000000007</v>
      </c>
      <c r="L173" s="1178">
        <v>3.6</v>
      </c>
      <c r="M173" s="1178">
        <v>10.7</v>
      </c>
      <c r="N173" s="1178">
        <v>4.2</v>
      </c>
      <c r="O173" s="1178">
        <v>12.9</v>
      </c>
      <c r="P173" s="1178">
        <v>5.4</v>
      </c>
      <c r="Q173" s="1178">
        <v>6.6</v>
      </c>
      <c r="R173" s="1178">
        <v>2</v>
      </c>
      <c r="S173" s="1178">
        <v>10.1</v>
      </c>
      <c r="T173" s="1178">
        <v>2.7</v>
      </c>
      <c r="U173" s="1178">
        <v>12.2</v>
      </c>
      <c r="V173" s="1178">
        <v>3.3</v>
      </c>
      <c r="W173" s="1178"/>
      <c r="X173" s="1178"/>
      <c r="Y173" s="1178"/>
      <c r="Z173" s="1178"/>
      <c r="AA173" s="1178"/>
      <c r="AB173" s="1178"/>
      <c r="AC173" s="1178"/>
      <c r="AD173" s="1179"/>
      <c r="AH173" s="251">
        <v>134</v>
      </c>
      <c r="AI173" s="251" t="e">
        <f t="shared" si="23"/>
        <v>#N/A</v>
      </c>
      <c r="AJ173" s="251" t="e">
        <f t="shared" ca="1" si="26"/>
        <v>#N/A</v>
      </c>
      <c r="AL173" s="251">
        <f t="shared" ca="1" si="27"/>
        <v>1969</v>
      </c>
      <c r="AM173" s="251" t="e">
        <f t="shared" ca="1" si="22"/>
        <v>#N/A</v>
      </c>
      <c r="AN173" s="251" t="e">
        <f t="shared" ca="1" si="24"/>
        <v>#N/A</v>
      </c>
      <c r="AO173" s="251" t="e">
        <f t="shared" ca="1" si="25"/>
        <v>#N/A</v>
      </c>
    </row>
    <row r="174" spans="1:41" x14ac:dyDescent="0.2">
      <c r="A174">
        <f t="shared" si="21"/>
        <v>7</v>
      </c>
      <c r="B174">
        <v>165</v>
      </c>
      <c r="C174" s="1078">
        <v>2</v>
      </c>
      <c r="D174" s="1077" t="s">
        <v>3599</v>
      </c>
      <c r="E174" s="1077" t="s">
        <v>4094</v>
      </c>
      <c r="F174" s="1185">
        <v>1</v>
      </c>
      <c r="G174" s="1178">
        <v>5.7</v>
      </c>
      <c r="H174" s="1178">
        <v>2.2000000000000002</v>
      </c>
      <c r="I174" s="1178">
        <v>7.1</v>
      </c>
      <c r="J174" s="1178">
        <v>3.1</v>
      </c>
      <c r="K174" s="1178">
        <v>9.4</v>
      </c>
      <c r="L174" s="1178">
        <v>4</v>
      </c>
      <c r="M174" s="1178">
        <v>11.5</v>
      </c>
      <c r="N174" s="1178">
        <v>4.8</v>
      </c>
      <c r="O174" s="1178">
        <v>14.3</v>
      </c>
      <c r="P174" s="1178">
        <v>6</v>
      </c>
      <c r="Q174" s="1178">
        <v>6.5</v>
      </c>
      <c r="R174" s="1178">
        <v>2</v>
      </c>
      <c r="S174" s="1178">
        <v>10.3</v>
      </c>
      <c r="T174" s="1178">
        <v>3.1</v>
      </c>
      <c r="U174" s="1178">
        <v>12.9</v>
      </c>
      <c r="V174" s="1178">
        <v>3.6</v>
      </c>
      <c r="W174" s="1178"/>
      <c r="X174" s="1178"/>
      <c r="Y174" s="1178"/>
      <c r="Z174" s="1178"/>
      <c r="AA174" s="1178"/>
      <c r="AB174" s="1178"/>
      <c r="AC174" s="1178"/>
      <c r="AD174" s="1179"/>
      <c r="AH174" s="251">
        <v>135</v>
      </c>
      <c r="AI174" s="251" t="e">
        <f t="shared" si="23"/>
        <v>#N/A</v>
      </c>
      <c r="AJ174" s="251" t="e">
        <f t="shared" ca="1" si="26"/>
        <v>#N/A</v>
      </c>
      <c r="AL174" s="251">
        <f t="shared" ca="1" si="27"/>
        <v>1970</v>
      </c>
      <c r="AM174" s="251" t="e">
        <f t="shared" ca="1" si="22"/>
        <v>#N/A</v>
      </c>
      <c r="AN174" s="251" t="e">
        <f t="shared" ca="1" si="24"/>
        <v>#N/A</v>
      </c>
      <c r="AO174" s="251" t="e">
        <f t="shared" ca="1" si="25"/>
        <v>#N/A</v>
      </c>
    </row>
    <row r="175" spans="1:41" x14ac:dyDescent="0.2">
      <c r="A175">
        <f t="shared" si="21"/>
        <v>7</v>
      </c>
      <c r="B175">
        <v>166</v>
      </c>
      <c r="C175" s="1078">
        <v>2</v>
      </c>
      <c r="D175" s="1077" t="s">
        <v>3599</v>
      </c>
      <c r="E175" s="1077" t="s">
        <v>4815</v>
      </c>
      <c r="F175" s="1185">
        <v>4</v>
      </c>
      <c r="G175" s="1178">
        <v>8.6999999999999993</v>
      </c>
      <c r="H175" s="1178">
        <v>2.6</v>
      </c>
      <c r="I175" s="1178">
        <v>10.7</v>
      </c>
      <c r="J175" s="1178">
        <v>3.1</v>
      </c>
      <c r="K175" s="1178">
        <v>6</v>
      </c>
      <c r="L175" s="1178">
        <v>4.2</v>
      </c>
      <c r="M175" s="1178">
        <v>7.1</v>
      </c>
      <c r="N175" s="1178">
        <v>5.0999999999999996</v>
      </c>
      <c r="O175" s="1178">
        <v>8.4</v>
      </c>
      <c r="P175" s="1178">
        <v>6.1</v>
      </c>
      <c r="Q175" s="1178">
        <v>9.4</v>
      </c>
      <c r="R175" s="1178">
        <v>2</v>
      </c>
      <c r="S175" s="1178">
        <v>7.1</v>
      </c>
      <c r="T175" s="1178">
        <v>3.2</v>
      </c>
      <c r="U175" s="1178">
        <v>13.2</v>
      </c>
      <c r="V175" s="1178">
        <v>3.6</v>
      </c>
      <c r="W175" s="1178"/>
      <c r="X175" s="1178"/>
      <c r="Y175" s="1178"/>
      <c r="Z175" s="1178"/>
      <c r="AA175" s="1178"/>
      <c r="AB175" s="1178"/>
      <c r="AC175" s="1178"/>
      <c r="AD175" s="1179"/>
      <c r="AH175" s="251">
        <v>136</v>
      </c>
      <c r="AI175" s="251" t="e">
        <f t="shared" si="23"/>
        <v>#N/A</v>
      </c>
      <c r="AJ175" s="251" t="e">
        <f t="shared" ca="1" si="26"/>
        <v>#N/A</v>
      </c>
      <c r="AL175" s="251">
        <f t="shared" ca="1" si="27"/>
        <v>1971</v>
      </c>
      <c r="AM175" s="251" t="e">
        <f t="shared" ca="1" si="22"/>
        <v>#N/A</v>
      </c>
      <c r="AN175" s="251" t="e">
        <f t="shared" ca="1" si="24"/>
        <v>#N/A</v>
      </c>
      <c r="AO175" s="251" t="e">
        <f t="shared" ca="1" si="25"/>
        <v>#N/A</v>
      </c>
    </row>
    <row r="176" spans="1:41" x14ac:dyDescent="0.2">
      <c r="A176">
        <f t="shared" si="21"/>
        <v>7</v>
      </c>
      <c r="B176">
        <v>167</v>
      </c>
      <c r="C176" s="1078">
        <v>2</v>
      </c>
      <c r="D176" s="1077" t="s">
        <v>3599</v>
      </c>
      <c r="E176" s="1077" t="s">
        <v>4099</v>
      </c>
      <c r="F176" s="1185">
        <v>1</v>
      </c>
      <c r="G176" s="1178">
        <v>8.6</v>
      </c>
      <c r="H176" s="1178">
        <v>2.2000000000000002</v>
      </c>
      <c r="I176" s="1178">
        <v>10.7</v>
      </c>
      <c r="J176" s="1178">
        <v>2.7</v>
      </c>
      <c r="K176" s="1178">
        <v>13.4</v>
      </c>
      <c r="L176" s="1178">
        <v>3.3</v>
      </c>
      <c r="M176" s="1178">
        <v>16.399999999999999</v>
      </c>
      <c r="N176" s="1178">
        <v>4</v>
      </c>
      <c r="O176" s="1178">
        <v>22.4</v>
      </c>
      <c r="P176" s="1178">
        <v>5.2</v>
      </c>
      <c r="Q176" s="1178">
        <v>9.1999999999999993</v>
      </c>
      <c r="R176" s="1178">
        <v>1.6</v>
      </c>
      <c r="S176" s="1178">
        <v>15.3</v>
      </c>
      <c r="T176" s="1178">
        <v>2.5</v>
      </c>
      <c r="U176" s="1178">
        <v>21.4</v>
      </c>
      <c r="V176" s="1178">
        <v>3.5</v>
      </c>
      <c r="W176" s="1178"/>
      <c r="X176" s="1178"/>
      <c r="Y176" s="1178"/>
      <c r="Z176" s="1178"/>
      <c r="AA176" s="1178"/>
      <c r="AB176" s="1178"/>
      <c r="AC176" s="1178"/>
      <c r="AD176" s="1179"/>
      <c r="AH176" s="251">
        <v>137</v>
      </c>
      <c r="AI176" s="251" t="e">
        <f t="shared" si="23"/>
        <v>#N/A</v>
      </c>
      <c r="AJ176" s="251" t="e">
        <f t="shared" ca="1" si="26"/>
        <v>#N/A</v>
      </c>
      <c r="AL176" s="251">
        <f t="shared" ca="1" si="27"/>
        <v>1972</v>
      </c>
      <c r="AM176" s="251" t="e">
        <f t="shared" ca="1" si="22"/>
        <v>#N/A</v>
      </c>
      <c r="AN176" s="251" t="e">
        <f t="shared" ca="1" si="24"/>
        <v>#N/A</v>
      </c>
      <c r="AO176" s="251" t="e">
        <f t="shared" ca="1" si="25"/>
        <v>#N/A</v>
      </c>
    </row>
    <row r="177" spans="1:41" x14ac:dyDescent="0.2">
      <c r="A177">
        <f t="shared" si="21"/>
        <v>7</v>
      </c>
      <c r="B177">
        <v>168</v>
      </c>
      <c r="C177" s="1078">
        <v>2</v>
      </c>
      <c r="D177" s="1077" t="s">
        <v>3599</v>
      </c>
      <c r="E177" s="1077" t="s">
        <v>4103</v>
      </c>
      <c r="F177" s="1185">
        <v>2</v>
      </c>
      <c r="G177" s="1178">
        <v>10.199999999999999</v>
      </c>
      <c r="H177" s="1178">
        <v>2.6</v>
      </c>
      <c r="I177" s="1178">
        <v>12.8</v>
      </c>
      <c r="J177" s="1178">
        <v>2.9</v>
      </c>
      <c r="K177" s="1178">
        <v>14.7</v>
      </c>
      <c r="L177" s="1178">
        <v>3.3</v>
      </c>
      <c r="M177" s="1178">
        <v>17.7</v>
      </c>
      <c r="N177" s="1178">
        <v>4</v>
      </c>
      <c r="O177" s="1178">
        <v>22.2</v>
      </c>
      <c r="P177" s="1178">
        <v>5</v>
      </c>
      <c r="Q177" s="1178">
        <v>12.2</v>
      </c>
      <c r="R177" s="1178">
        <v>1.9</v>
      </c>
      <c r="S177" s="1178">
        <v>17.399999999999999</v>
      </c>
      <c r="T177" s="1178">
        <v>2.4</v>
      </c>
      <c r="U177" s="1178">
        <v>24.2</v>
      </c>
      <c r="V177" s="1178">
        <v>2.8</v>
      </c>
      <c r="W177" s="1178"/>
      <c r="X177" s="1178"/>
      <c r="Y177" s="1178"/>
      <c r="Z177" s="1178"/>
      <c r="AA177" s="1178"/>
      <c r="AB177" s="1178"/>
      <c r="AC177" s="1178"/>
      <c r="AD177" s="1179"/>
      <c r="AH177" s="251">
        <v>138</v>
      </c>
      <c r="AI177" s="251" t="e">
        <f t="shared" si="23"/>
        <v>#N/A</v>
      </c>
      <c r="AJ177" s="251" t="e">
        <f t="shared" ca="1" si="26"/>
        <v>#N/A</v>
      </c>
      <c r="AL177" s="251">
        <f t="shared" ca="1" si="27"/>
        <v>1973</v>
      </c>
      <c r="AM177" s="251" t="e">
        <f t="shared" ca="1" si="22"/>
        <v>#N/A</v>
      </c>
      <c r="AN177" s="251" t="e">
        <f t="shared" ca="1" si="24"/>
        <v>#N/A</v>
      </c>
      <c r="AO177" s="251" t="e">
        <f t="shared" ca="1" si="25"/>
        <v>#N/A</v>
      </c>
    </row>
    <row r="178" spans="1:41" x14ac:dyDescent="0.2">
      <c r="A178">
        <f t="shared" si="21"/>
        <v>7</v>
      </c>
      <c r="B178">
        <v>169</v>
      </c>
      <c r="C178" s="1078">
        <v>2</v>
      </c>
      <c r="D178" s="1077" t="s">
        <v>3599</v>
      </c>
      <c r="E178" s="1077" t="s">
        <v>4105</v>
      </c>
      <c r="F178" s="1185">
        <v>2</v>
      </c>
      <c r="G178" s="1178">
        <v>12.9</v>
      </c>
      <c r="H178" s="1178">
        <v>2.2999999999999998</v>
      </c>
      <c r="I178" s="1178">
        <v>15.7</v>
      </c>
      <c r="J178" s="1178">
        <v>2.7</v>
      </c>
      <c r="K178" s="1178">
        <v>19.899999999999999</v>
      </c>
      <c r="L178" s="1178">
        <v>3.4</v>
      </c>
      <c r="M178" s="1178">
        <v>23.4</v>
      </c>
      <c r="N178" s="1178">
        <v>3.9</v>
      </c>
      <c r="O178" s="1178">
        <v>27.5</v>
      </c>
      <c r="P178" s="1178">
        <v>4.4000000000000004</v>
      </c>
      <c r="Q178" s="1178">
        <v>15.7</v>
      </c>
      <c r="R178" s="1178">
        <v>1.9</v>
      </c>
      <c r="S178" s="1178">
        <v>22.3</v>
      </c>
      <c r="T178" s="1178">
        <v>2.6</v>
      </c>
      <c r="U178" s="1178">
        <v>26.3</v>
      </c>
      <c r="V178" s="1178">
        <v>3</v>
      </c>
      <c r="W178" s="1178"/>
      <c r="X178" s="1178"/>
      <c r="Y178" s="1178"/>
      <c r="Z178" s="1178"/>
      <c r="AA178" s="1178"/>
      <c r="AB178" s="1178"/>
      <c r="AC178" s="1178"/>
      <c r="AD178" s="1179"/>
      <c r="AH178" s="251">
        <v>139</v>
      </c>
      <c r="AI178" s="251" t="e">
        <f t="shared" si="23"/>
        <v>#N/A</v>
      </c>
      <c r="AJ178" s="251" t="e">
        <f t="shared" ca="1" si="26"/>
        <v>#N/A</v>
      </c>
      <c r="AL178" s="251">
        <f t="shared" ca="1" si="27"/>
        <v>1974</v>
      </c>
      <c r="AM178" s="251" t="e">
        <f t="shared" ca="1" si="22"/>
        <v>#N/A</v>
      </c>
      <c r="AN178" s="251" t="e">
        <f t="shared" ca="1" si="24"/>
        <v>#N/A</v>
      </c>
      <c r="AO178" s="251" t="e">
        <f t="shared" ca="1" si="25"/>
        <v>#N/A</v>
      </c>
    </row>
    <row r="179" spans="1:41" x14ac:dyDescent="0.2">
      <c r="A179">
        <f t="shared" si="21"/>
        <v>7</v>
      </c>
      <c r="B179">
        <v>170</v>
      </c>
      <c r="C179" s="1078">
        <v>2</v>
      </c>
      <c r="D179" s="1077" t="s">
        <v>3599</v>
      </c>
      <c r="E179" s="1077" t="s">
        <v>4107</v>
      </c>
      <c r="F179" s="1185">
        <v>2</v>
      </c>
      <c r="G179" s="1178">
        <v>18.2</v>
      </c>
      <c r="H179" s="1178">
        <v>2.2999999999999998</v>
      </c>
      <c r="I179" s="1178">
        <v>21.6</v>
      </c>
      <c r="J179" s="1178">
        <v>2.8</v>
      </c>
      <c r="K179" s="1178">
        <v>25.2</v>
      </c>
      <c r="L179" s="1178">
        <v>3.3</v>
      </c>
      <c r="M179" s="1178">
        <v>27.8</v>
      </c>
      <c r="N179" s="1178">
        <v>3.5</v>
      </c>
      <c r="O179" s="1178">
        <v>30.5</v>
      </c>
      <c r="P179" s="1178">
        <v>4.0999999999999996</v>
      </c>
      <c r="Q179" s="1178">
        <v>21.4</v>
      </c>
      <c r="R179" s="1178">
        <v>1.9</v>
      </c>
      <c r="S179" s="1178">
        <v>25.6</v>
      </c>
      <c r="T179" s="1178">
        <v>2.4</v>
      </c>
      <c r="U179" s="1178">
        <v>29.7</v>
      </c>
      <c r="V179" s="1178">
        <v>2.7</v>
      </c>
      <c r="W179" s="1178"/>
      <c r="X179" s="1178"/>
      <c r="Y179" s="1178"/>
      <c r="Z179" s="1178"/>
      <c r="AA179" s="1178"/>
      <c r="AB179" s="1178"/>
      <c r="AC179" s="1178"/>
      <c r="AD179" s="1179"/>
      <c r="AH179" s="251">
        <v>140</v>
      </c>
      <c r="AI179" s="251" t="e">
        <f t="shared" si="23"/>
        <v>#N/A</v>
      </c>
      <c r="AJ179" s="251" t="e">
        <f t="shared" ca="1" si="26"/>
        <v>#N/A</v>
      </c>
      <c r="AL179" s="251">
        <f t="shared" ca="1" si="27"/>
        <v>1975</v>
      </c>
      <c r="AM179" s="251" t="e">
        <f t="shared" ca="1" si="22"/>
        <v>#N/A</v>
      </c>
      <c r="AN179" s="251" t="e">
        <f t="shared" ca="1" si="24"/>
        <v>#N/A</v>
      </c>
      <c r="AO179" s="251" t="e">
        <f t="shared" ca="1" si="25"/>
        <v>#N/A</v>
      </c>
    </row>
    <row r="180" spans="1:41" x14ac:dyDescent="0.2">
      <c r="A180">
        <f t="shared" si="21"/>
        <v>7</v>
      </c>
      <c r="B180">
        <v>171</v>
      </c>
      <c r="C180" s="1081">
        <v>2</v>
      </c>
      <c r="D180" s="1082" t="s">
        <v>3599</v>
      </c>
      <c r="E180" s="1082" t="s">
        <v>4086</v>
      </c>
      <c r="F180" s="1188">
        <v>1</v>
      </c>
      <c r="G180" s="1196">
        <v>4.2</v>
      </c>
      <c r="H180" s="1196">
        <v>2.4</v>
      </c>
      <c r="I180" s="1196">
        <v>5.4</v>
      </c>
      <c r="J180" s="1196">
        <v>3</v>
      </c>
      <c r="K180" s="1196">
        <v>6.8</v>
      </c>
      <c r="L180" s="1196">
        <v>3.9</v>
      </c>
      <c r="M180" s="1196">
        <v>8.5</v>
      </c>
      <c r="N180" s="1196">
        <v>4.7</v>
      </c>
      <c r="O180" s="1196">
        <v>10.6</v>
      </c>
      <c r="P180" s="1196">
        <v>6</v>
      </c>
      <c r="Q180" s="1196">
        <v>5</v>
      </c>
      <c r="R180" s="1196">
        <v>1.9</v>
      </c>
      <c r="S180" s="1196">
        <v>7.5</v>
      </c>
      <c r="T180" s="1196">
        <v>2.9</v>
      </c>
      <c r="U180" s="1196">
        <v>9.6</v>
      </c>
      <c r="V180" s="1196">
        <v>3.7</v>
      </c>
      <c r="W180" s="1196"/>
      <c r="X180" s="1196"/>
      <c r="Y180" s="1196"/>
      <c r="Z180" s="1196"/>
      <c r="AA180" s="1196"/>
      <c r="AB180" s="1196"/>
      <c r="AC180" s="1196"/>
      <c r="AD180" s="1197"/>
      <c r="AH180" s="251">
        <v>141</v>
      </c>
      <c r="AI180" s="251" t="e">
        <f t="shared" si="23"/>
        <v>#N/A</v>
      </c>
      <c r="AJ180" s="251" t="e">
        <f t="shared" ca="1" si="26"/>
        <v>#N/A</v>
      </c>
      <c r="AL180" s="251">
        <f t="shared" ca="1" si="27"/>
        <v>1976</v>
      </c>
      <c r="AM180" s="251" t="e">
        <f t="shared" ca="1" si="22"/>
        <v>#N/A</v>
      </c>
      <c r="AN180" s="251" t="e">
        <f t="shared" ca="1" si="24"/>
        <v>#N/A</v>
      </c>
      <c r="AO180" s="251" t="e">
        <f t="shared" ca="1" si="25"/>
        <v>#N/A</v>
      </c>
    </row>
    <row r="181" spans="1:41" x14ac:dyDescent="0.2">
      <c r="A181">
        <f t="shared" si="21"/>
        <v>7</v>
      </c>
      <c r="B181">
        <v>172</v>
      </c>
      <c r="C181" s="1190">
        <v>2</v>
      </c>
      <c r="D181" s="1191" t="s">
        <v>3599</v>
      </c>
      <c r="E181" s="1191" t="s">
        <v>4880</v>
      </c>
      <c r="F181" s="1192">
        <v>1</v>
      </c>
      <c r="G181" s="1198">
        <v>5.6</v>
      </c>
      <c r="H181" s="1198">
        <v>2.7</v>
      </c>
      <c r="I181" s="1198">
        <v>7.1</v>
      </c>
      <c r="J181" s="1198">
        <v>3.3</v>
      </c>
      <c r="K181" s="1198">
        <v>9.4</v>
      </c>
      <c r="L181" s="1198">
        <v>4.2</v>
      </c>
      <c r="M181" s="1198">
        <v>11.5</v>
      </c>
      <c r="N181" s="1198">
        <v>5</v>
      </c>
      <c r="O181" s="1198">
        <v>14.4</v>
      </c>
      <c r="P181" s="1198">
        <v>6.4</v>
      </c>
      <c r="Q181" s="1198">
        <v>7</v>
      </c>
      <c r="R181" s="1198">
        <v>2.2000000000000002</v>
      </c>
      <c r="S181" s="1198">
        <v>10.3</v>
      </c>
      <c r="T181" s="1198">
        <v>3.2</v>
      </c>
      <c r="U181" s="1198">
        <v>12.8</v>
      </c>
      <c r="V181" s="1198">
        <v>3.7</v>
      </c>
      <c r="W181" s="1198"/>
      <c r="X181" s="1198"/>
      <c r="Y181" s="1198"/>
      <c r="Z181" s="1198"/>
      <c r="AA181" s="1198"/>
      <c r="AB181" s="1198"/>
      <c r="AC181" s="1198"/>
      <c r="AD181" s="1199"/>
      <c r="AH181" s="251">
        <v>142</v>
      </c>
      <c r="AI181" s="251" t="e">
        <f t="shared" si="23"/>
        <v>#N/A</v>
      </c>
      <c r="AJ181" s="251" t="e">
        <f t="shared" ca="1" si="26"/>
        <v>#N/A</v>
      </c>
      <c r="AL181" s="251">
        <f t="shared" ca="1" si="27"/>
        <v>1977</v>
      </c>
      <c r="AM181" s="251" t="e">
        <f t="shared" ca="1" si="22"/>
        <v>#N/A</v>
      </c>
      <c r="AN181" s="251" t="e">
        <f t="shared" ca="1" si="24"/>
        <v>#N/A</v>
      </c>
      <c r="AO181" s="251" t="e">
        <f t="shared" ca="1" si="25"/>
        <v>#N/A</v>
      </c>
    </row>
    <row r="182" spans="1:41" x14ac:dyDescent="0.2">
      <c r="A182">
        <f t="shared" si="21"/>
        <v>7</v>
      </c>
      <c r="B182">
        <v>173</v>
      </c>
      <c r="C182" s="1078">
        <v>2</v>
      </c>
      <c r="D182" s="1077" t="s">
        <v>3599</v>
      </c>
      <c r="E182" s="1077" t="s">
        <v>4085</v>
      </c>
      <c r="F182" s="1185">
        <v>1</v>
      </c>
      <c r="G182" s="1178">
        <v>4.3</v>
      </c>
      <c r="H182" s="1178">
        <v>2.2999999999999998</v>
      </c>
      <c r="I182" s="1178">
        <v>5.3</v>
      </c>
      <c r="J182" s="1178">
        <v>2.8</v>
      </c>
      <c r="K182" s="1178">
        <v>6.6</v>
      </c>
      <c r="L182" s="1178">
        <v>3.5</v>
      </c>
      <c r="M182" s="1178">
        <v>7.7</v>
      </c>
      <c r="N182" s="1178">
        <v>4</v>
      </c>
      <c r="O182" s="1178">
        <v>8.1999999999999993</v>
      </c>
      <c r="P182" s="1178">
        <v>4.4000000000000004</v>
      </c>
      <c r="Q182" s="1178">
        <v>4.9000000000000004</v>
      </c>
      <c r="R182" s="1178">
        <v>1.8</v>
      </c>
      <c r="S182" s="1178">
        <v>7.1</v>
      </c>
      <c r="T182" s="1178">
        <v>2.5</v>
      </c>
      <c r="U182" s="1178">
        <v>9</v>
      </c>
      <c r="V182" s="1178">
        <v>3.2</v>
      </c>
      <c r="W182" s="1178"/>
      <c r="X182" s="1178"/>
      <c r="Y182" s="1178"/>
      <c r="Z182" s="1178"/>
      <c r="AA182" s="1178"/>
      <c r="AB182" s="1178"/>
      <c r="AC182" s="1178"/>
      <c r="AD182" s="1179"/>
      <c r="AH182" s="251">
        <v>143</v>
      </c>
      <c r="AI182" s="251" t="e">
        <f t="shared" si="23"/>
        <v>#N/A</v>
      </c>
      <c r="AJ182" s="251" t="e">
        <f t="shared" ca="1" si="26"/>
        <v>#N/A</v>
      </c>
      <c r="AL182" s="251">
        <f t="shared" ca="1" si="27"/>
        <v>1978</v>
      </c>
      <c r="AM182" s="251" t="e">
        <f t="shared" ca="1" si="22"/>
        <v>#N/A</v>
      </c>
      <c r="AN182" s="251" t="e">
        <f t="shared" ca="1" si="24"/>
        <v>#N/A</v>
      </c>
      <c r="AO182" s="251" t="e">
        <f t="shared" ca="1" si="25"/>
        <v>#N/A</v>
      </c>
    </row>
    <row r="183" spans="1:41" x14ac:dyDescent="0.2">
      <c r="A183">
        <f t="shared" si="21"/>
        <v>7</v>
      </c>
      <c r="B183">
        <v>174</v>
      </c>
      <c r="C183" s="1078">
        <v>2</v>
      </c>
      <c r="D183" s="1077" t="s">
        <v>3599</v>
      </c>
      <c r="E183" s="1077" t="s">
        <v>4819</v>
      </c>
      <c r="F183" s="1185">
        <v>4</v>
      </c>
      <c r="G183" s="1178">
        <v>3.2</v>
      </c>
      <c r="H183" s="1178">
        <v>2.5</v>
      </c>
      <c r="I183" s="1178">
        <v>6</v>
      </c>
      <c r="J183" s="1178">
        <v>3.03</v>
      </c>
      <c r="K183" s="1178">
        <v>4.2</v>
      </c>
      <c r="L183" s="1178">
        <v>4.16</v>
      </c>
      <c r="M183" s="1178">
        <v>4.7</v>
      </c>
      <c r="N183" s="1178">
        <v>4.76</v>
      </c>
      <c r="O183" s="1178">
        <v>6.5</v>
      </c>
      <c r="P183" s="1178">
        <v>6.4</v>
      </c>
      <c r="Q183" s="1178">
        <v>5.66</v>
      </c>
      <c r="R183" s="1178">
        <v>2</v>
      </c>
      <c r="S183" s="1178">
        <v>5.4</v>
      </c>
      <c r="T183" s="1178">
        <v>2.92</v>
      </c>
      <c r="U183" s="1178">
        <v>6.88</v>
      </c>
      <c r="V183" s="1178">
        <v>3.25</v>
      </c>
      <c r="W183" s="1178"/>
      <c r="X183" s="1178"/>
      <c r="Y183" s="1178"/>
      <c r="Z183" s="1178"/>
      <c r="AA183" s="1178"/>
      <c r="AB183" s="1178"/>
      <c r="AC183" s="1178"/>
      <c r="AD183" s="1179"/>
      <c r="AH183" s="251">
        <v>144</v>
      </c>
      <c r="AI183" s="251" t="e">
        <f t="shared" si="23"/>
        <v>#N/A</v>
      </c>
      <c r="AJ183" s="251" t="e">
        <f t="shared" ca="1" si="26"/>
        <v>#N/A</v>
      </c>
      <c r="AL183" s="251">
        <f t="shared" ca="1" si="27"/>
        <v>1979</v>
      </c>
      <c r="AM183" s="251" t="e">
        <f t="shared" ca="1" si="22"/>
        <v>#N/A</v>
      </c>
      <c r="AN183" s="251" t="e">
        <f t="shared" ca="1" si="24"/>
        <v>#N/A</v>
      </c>
      <c r="AO183" s="251" t="e">
        <f t="shared" ca="1" si="25"/>
        <v>#N/A</v>
      </c>
    </row>
    <row r="184" spans="1:41" x14ac:dyDescent="0.2">
      <c r="A184">
        <f t="shared" si="21"/>
        <v>7</v>
      </c>
      <c r="B184">
        <v>175</v>
      </c>
      <c r="C184" s="1078">
        <v>2</v>
      </c>
      <c r="D184" s="1077" t="s">
        <v>3599</v>
      </c>
      <c r="E184" s="1077" t="s">
        <v>4820</v>
      </c>
      <c r="F184" s="1185">
        <v>4</v>
      </c>
      <c r="G184" s="1178">
        <v>7.6</v>
      </c>
      <c r="H184" s="1178">
        <v>2.4</v>
      </c>
      <c r="I184" s="1178">
        <v>9.4</v>
      </c>
      <c r="J184" s="1178">
        <v>3.03</v>
      </c>
      <c r="K184" s="1178">
        <v>6.5</v>
      </c>
      <c r="L184" s="1178">
        <v>4.33</v>
      </c>
      <c r="M184" s="1178">
        <v>6.9</v>
      </c>
      <c r="N184" s="1178">
        <v>4.96</v>
      </c>
      <c r="O184" s="1178">
        <v>8.3000000000000007</v>
      </c>
      <c r="P184" s="1178">
        <v>6.2</v>
      </c>
      <c r="Q184" s="1178">
        <v>8.81</v>
      </c>
      <c r="R184" s="1178">
        <v>1.87</v>
      </c>
      <c r="S184" s="1178">
        <v>6.94</v>
      </c>
      <c r="T184" s="1178">
        <v>3.01</v>
      </c>
      <c r="U184" s="1178">
        <v>13.83</v>
      </c>
      <c r="V184" s="1178">
        <v>3.38</v>
      </c>
      <c r="W184" s="1178"/>
      <c r="X184" s="1178"/>
      <c r="Y184" s="1178"/>
      <c r="Z184" s="1178"/>
      <c r="AA184" s="1178"/>
      <c r="AB184" s="1178"/>
      <c r="AC184" s="1178"/>
      <c r="AD184" s="1179"/>
      <c r="AH184" s="251">
        <v>145</v>
      </c>
      <c r="AI184" s="251" t="e">
        <f t="shared" si="23"/>
        <v>#N/A</v>
      </c>
      <c r="AJ184" s="251" t="e">
        <f t="shared" ca="1" si="26"/>
        <v>#N/A</v>
      </c>
      <c r="AL184" s="251">
        <f t="shared" ca="1" si="27"/>
        <v>1980</v>
      </c>
      <c r="AM184" s="251" t="e">
        <f t="shared" ca="1" si="22"/>
        <v>#N/A</v>
      </c>
      <c r="AN184" s="251" t="e">
        <f t="shared" ca="1" si="24"/>
        <v>#N/A</v>
      </c>
      <c r="AO184" s="251" t="e">
        <f t="shared" ca="1" si="25"/>
        <v>#N/A</v>
      </c>
    </row>
    <row r="185" spans="1:41" x14ac:dyDescent="0.2">
      <c r="A185">
        <f t="shared" si="21"/>
        <v>7</v>
      </c>
      <c r="B185">
        <v>176</v>
      </c>
      <c r="C185" s="1078">
        <v>3</v>
      </c>
      <c r="D185" s="1077" t="s">
        <v>3599</v>
      </c>
      <c r="E185" s="1077" t="s">
        <v>4119</v>
      </c>
      <c r="F185" s="1185">
        <v>1</v>
      </c>
      <c r="G185" s="1178"/>
      <c r="H185" s="1178"/>
      <c r="I185" s="1178"/>
      <c r="J185" s="1178"/>
      <c r="K185" s="1178"/>
      <c r="L185" s="1178"/>
      <c r="M185" s="1178"/>
      <c r="N185" s="1178"/>
      <c r="O185" s="1178"/>
      <c r="P185" s="1178"/>
      <c r="Q185" s="1178"/>
      <c r="R185" s="1178"/>
      <c r="S185" s="1178"/>
      <c r="T185" s="1178"/>
      <c r="U185" s="1178"/>
      <c r="V185" s="1178"/>
      <c r="W185" s="1178">
        <v>10.9</v>
      </c>
      <c r="X185" s="1178">
        <v>4.9000000000000004</v>
      </c>
      <c r="Y185" s="1178">
        <v>10</v>
      </c>
      <c r="Z185" s="1178">
        <v>2.9</v>
      </c>
      <c r="AA185" s="1178"/>
      <c r="AB185" s="1178"/>
      <c r="AC185" s="1178"/>
      <c r="AD185" s="1179"/>
      <c r="AH185" s="251">
        <v>146</v>
      </c>
      <c r="AI185" s="251" t="e">
        <f t="shared" si="23"/>
        <v>#N/A</v>
      </c>
      <c r="AJ185" s="251" t="e">
        <f t="shared" ca="1" si="26"/>
        <v>#N/A</v>
      </c>
      <c r="AL185" s="251">
        <f t="shared" ca="1" si="27"/>
        <v>1981</v>
      </c>
      <c r="AM185" s="251" t="e">
        <f t="shared" ca="1" si="22"/>
        <v>#N/A</v>
      </c>
      <c r="AN185" s="251" t="e">
        <f t="shared" ca="1" si="24"/>
        <v>#N/A</v>
      </c>
      <c r="AO185" s="251" t="e">
        <f t="shared" ca="1" si="25"/>
        <v>#N/A</v>
      </c>
    </row>
    <row r="186" spans="1:41" x14ac:dyDescent="0.2">
      <c r="A186">
        <f t="shared" si="21"/>
        <v>7</v>
      </c>
      <c r="B186">
        <v>177</v>
      </c>
      <c r="C186" s="1081">
        <v>3</v>
      </c>
      <c r="D186" s="1082" t="s">
        <v>3599</v>
      </c>
      <c r="E186" s="1082" t="s">
        <v>4783</v>
      </c>
      <c r="F186" s="1188">
        <v>2</v>
      </c>
      <c r="G186" s="1196"/>
      <c r="H186" s="1196"/>
      <c r="I186" s="1196"/>
      <c r="J186" s="1196"/>
      <c r="K186" s="1196"/>
      <c r="L186" s="1196"/>
      <c r="M186" s="1196"/>
      <c r="N186" s="1196"/>
      <c r="O186" s="1196"/>
      <c r="P186" s="1196"/>
      <c r="Q186" s="1196"/>
      <c r="R186" s="1196"/>
      <c r="S186" s="1196"/>
      <c r="T186" s="1196"/>
      <c r="U186" s="1196"/>
      <c r="V186" s="1196"/>
      <c r="W186" s="1196">
        <v>138.1</v>
      </c>
      <c r="X186" s="1196">
        <v>4.5999999999999996</v>
      </c>
      <c r="Y186" s="1196">
        <v>129.6</v>
      </c>
      <c r="Z186" s="1196">
        <v>3.1</v>
      </c>
      <c r="AA186" s="1196"/>
      <c r="AB186" s="1196"/>
      <c r="AC186" s="1196"/>
      <c r="AD186" s="1197"/>
      <c r="AH186" s="251">
        <v>147</v>
      </c>
      <c r="AI186" s="251" t="e">
        <f t="shared" si="23"/>
        <v>#N/A</v>
      </c>
      <c r="AJ186" s="251" t="e">
        <f t="shared" ca="1" si="26"/>
        <v>#N/A</v>
      </c>
      <c r="AL186" s="251">
        <f t="shared" ca="1" si="27"/>
        <v>1982</v>
      </c>
      <c r="AM186" s="251" t="e">
        <f t="shared" ca="1" si="22"/>
        <v>#N/A</v>
      </c>
      <c r="AN186" s="251" t="e">
        <f t="shared" ca="1" si="24"/>
        <v>#N/A</v>
      </c>
      <c r="AO186" s="251" t="e">
        <f t="shared" ca="1" si="25"/>
        <v>#N/A</v>
      </c>
    </row>
    <row r="187" spans="1:41" x14ac:dyDescent="0.2">
      <c r="A187">
        <f t="shared" si="21"/>
        <v>7</v>
      </c>
      <c r="B187">
        <v>178</v>
      </c>
      <c r="C187" s="1190">
        <v>3</v>
      </c>
      <c r="D187" s="1191" t="s">
        <v>3599</v>
      </c>
      <c r="E187" s="1191" t="s">
        <v>4122</v>
      </c>
      <c r="F187" s="1192">
        <v>1</v>
      </c>
      <c r="G187" s="1198"/>
      <c r="H187" s="1198"/>
      <c r="I187" s="1198"/>
      <c r="J187" s="1198"/>
      <c r="K187" s="1198"/>
      <c r="L187" s="1198"/>
      <c r="M187" s="1198"/>
      <c r="N187" s="1198"/>
      <c r="O187" s="1198"/>
      <c r="P187" s="1198"/>
      <c r="Q187" s="1198"/>
      <c r="R187" s="1198"/>
      <c r="S187" s="1198"/>
      <c r="T187" s="1198"/>
      <c r="U187" s="1198"/>
      <c r="V187" s="1198"/>
      <c r="W187" s="1198">
        <v>13.9</v>
      </c>
      <c r="X187" s="1198">
        <v>5</v>
      </c>
      <c r="Y187" s="1198">
        <v>12.7</v>
      </c>
      <c r="Z187" s="1198">
        <v>3</v>
      </c>
      <c r="AA187" s="1198"/>
      <c r="AB187" s="1198"/>
      <c r="AC187" s="1198"/>
      <c r="AD187" s="1199"/>
      <c r="AH187" s="251">
        <v>148</v>
      </c>
      <c r="AI187" s="251" t="e">
        <f t="shared" si="23"/>
        <v>#N/A</v>
      </c>
      <c r="AJ187" s="251" t="e">
        <f t="shared" ca="1" si="26"/>
        <v>#N/A</v>
      </c>
      <c r="AL187" s="251">
        <f t="shared" ca="1" si="27"/>
        <v>1983</v>
      </c>
      <c r="AM187" s="251" t="e">
        <f t="shared" ca="1" si="22"/>
        <v>#N/A</v>
      </c>
      <c r="AN187" s="251" t="e">
        <f t="shared" ca="1" si="24"/>
        <v>#N/A</v>
      </c>
      <c r="AO187" s="251" t="e">
        <f t="shared" ca="1" si="25"/>
        <v>#N/A</v>
      </c>
    </row>
    <row r="188" spans="1:41" x14ac:dyDescent="0.2">
      <c r="A188">
        <f t="shared" si="21"/>
        <v>7</v>
      </c>
      <c r="B188">
        <v>179</v>
      </c>
      <c r="C188" s="1078">
        <v>3</v>
      </c>
      <c r="D188" s="1077" t="s">
        <v>3599</v>
      </c>
      <c r="E188" s="1077" t="s">
        <v>4123</v>
      </c>
      <c r="F188" s="1185">
        <v>1</v>
      </c>
      <c r="G188" s="1178"/>
      <c r="H188" s="1178"/>
      <c r="I188" s="1178"/>
      <c r="J188" s="1178"/>
      <c r="K188" s="1178"/>
      <c r="L188" s="1178"/>
      <c r="M188" s="1178"/>
      <c r="N188" s="1178"/>
      <c r="O188" s="1178"/>
      <c r="P188" s="1178"/>
      <c r="Q188" s="1178"/>
      <c r="R188" s="1178"/>
      <c r="S188" s="1178"/>
      <c r="T188" s="1178"/>
      <c r="U188" s="1178"/>
      <c r="V188" s="1178"/>
      <c r="W188" s="1178">
        <v>17.5</v>
      </c>
      <c r="X188" s="1178">
        <v>4.7</v>
      </c>
      <c r="Y188" s="1178">
        <v>16.5</v>
      </c>
      <c r="Z188" s="1178">
        <v>2.9</v>
      </c>
      <c r="AA188" s="1178"/>
      <c r="AB188" s="1178"/>
      <c r="AC188" s="1178"/>
      <c r="AD188" s="1179"/>
      <c r="AH188" s="251">
        <v>149</v>
      </c>
      <c r="AI188" s="251" t="e">
        <f t="shared" si="23"/>
        <v>#N/A</v>
      </c>
      <c r="AJ188" s="251" t="e">
        <f t="shared" ca="1" si="26"/>
        <v>#N/A</v>
      </c>
      <c r="AL188" s="251">
        <f t="shared" ca="1" si="27"/>
        <v>1984</v>
      </c>
      <c r="AM188" s="251" t="e">
        <f t="shared" ca="1" si="22"/>
        <v>#N/A</v>
      </c>
      <c r="AN188" s="251" t="e">
        <f t="shared" ca="1" si="24"/>
        <v>#N/A</v>
      </c>
      <c r="AO188" s="251" t="e">
        <f t="shared" ca="1" si="25"/>
        <v>#N/A</v>
      </c>
    </row>
    <row r="189" spans="1:41" x14ac:dyDescent="0.2">
      <c r="A189">
        <f t="shared" si="21"/>
        <v>7</v>
      </c>
      <c r="B189">
        <v>180</v>
      </c>
      <c r="C189" s="1078">
        <v>3</v>
      </c>
      <c r="D189" s="1077" t="s">
        <v>3599</v>
      </c>
      <c r="E189" s="1077" t="s">
        <v>4781</v>
      </c>
      <c r="F189" s="1185">
        <v>1</v>
      </c>
      <c r="G189" s="1178"/>
      <c r="H189" s="1178"/>
      <c r="I189" s="1178"/>
      <c r="J189" s="1178"/>
      <c r="K189" s="1178"/>
      <c r="L189" s="1178"/>
      <c r="M189" s="1178"/>
      <c r="N189" s="1178"/>
      <c r="O189" s="1178"/>
      <c r="P189" s="1178"/>
      <c r="Q189" s="1178"/>
      <c r="R189" s="1178"/>
      <c r="S189" s="1178"/>
      <c r="T189" s="1178"/>
      <c r="U189" s="1178"/>
      <c r="V189" s="1178"/>
      <c r="W189" s="1178">
        <v>22.9</v>
      </c>
      <c r="X189" s="1178">
        <v>4.4000000000000004</v>
      </c>
      <c r="Y189" s="1178">
        <v>21.5</v>
      </c>
      <c r="Z189" s="1178">
        <v>2.9</v>
      </c>
      <c r="AA189" s="1178"/>
      <c r="AB189" s="1178"/>
      <c r="AC189" s="1178"/>
      <c r="AD189" s="1179"/>
      <c r="AH189" s="251">
        <v>150</v>
      </c>
      <c r="AI189" s="251" t="e">
        <f t="shared" si="23"/>
        <v>#N/A</v>
      </c>
      <c r="AJ189" s="251" t="e">
        <f t="shared" ca="1" si="26"/>
        <v>#N/A</v>
      </c>
      <c r="AL189" s="251">
        <f t="shared" ca="1" si="27"/>
        <v>1985</v>
      </c>
      <c r="AM189" s="251" t="e">
        <f t="shared" ca="1" si="22"/>
        <v>#N/A</v>
      </c>
      <c r="AN189" s="251" t="e">
        <f t="shared" ca="1" si="24"/>
        <v>#N/A</v>
      </c>
      <c r="AO189" s="251" t="e">
        <f t="shared" ca="1" si="25"/>
        <v>#N/A</v>
      </c>
    </row>
    <row r="190" spans="1:41" x14ac:dyDescent="0.2">
      <c r="A190">
        <f t="shared" si="21"/>
        <v>7</v>
      </c>
      <c r="B190">
        <v>181</v>
      </c>
      <c r="C190" s="1078">
        <v>3</v>
      </c>
      <c r="D190" s="1077" t="s">
        <v>3599</v>
      </c>
      <c r="E190" s="1077" t="s">
        <v>4125</v>
      </c>
      <c r="F190" s="1185">
        <v>2</v>
      </c>
      <c r="G190" s="1178"/>
      <c r="H190" s="1178"/>
      <c r="I190" s="1178"/>
      <c r="J190" s="1178"/>
      <c r="K190" s="1178"/>
      <c r="L190" s="1178"/>
      <c r="M190" s="1178"/>
      <c r="N190" s="1178"/>
      <c r="O190" s="1178"/>
      <c r="P190" s="1178"/>
      <c r="Q190" s="1178"/>
      <c r="R190" s="1178"/>
      <c r="S190" s="1178"/>
      <c r="T190" s="1178"/>
      <c r="U190" s="1178"/>
      <c r="V190" s="1178"/>
      <c r="W190" s="1178">
        <v>26.7</v>
      </c>
      <c r="X190" s="1178">
        <v>4.9000000000000004</v>
      </c>
      <c r="Y190" s="1178">
        <v>24.7</v>
      </c>
      <c r="Z190" s="1178">
        <v>3.1</v>
      </c>
      <c r="AA190" s="1178"/>
      <c r="AB190" s="1178"/>
      <c r="AC190" s="1178"/>
      <c r="AD190" s="1179"/>
      <c r="AH190" s="251">
        <v>151</v>
      </c>
      <c r="AI190" s="251" t="e">
        <f t="shared" si="23"/>
        <v>#N/A</v>
      </c>
      <c r="AJ190" s="251" t="e">
        <f t="shared" ca="1" si="26"/>
        <v>#N/A</v>
      </c>
      <c r="AL190" s="251">
        <f t="shared" ca="1" si="27"/>
        <v>1986</v>
      </c>
      <c r="AM190" s="251" t="e">
        <f t="shared" ca="1" si="22"/>
        <v>#N/A</v>
      </c>
      <c r="AN190" s="251" t="e">
        <f t="shared" ca="1" si="24"/>
        <v>#N/A</v>
      </c>
      <c r="AO190" s="251" t="e">
        <f t="shared" ca="1" si="25"/>
        <v>#N/A</v>
      </c>
    </row>
    <row r="191" spans="1:41" x14ac:dyDescent="0.2">
      <c r="A191">
        <f t="shared" si="21"/>
        <v>7</v>
      </c>
      <c r="B191">
        <v>182</v>
      </c>
      <c r="C191" s="1078">
        <v>3</v>
      </c>
      <c r="D191" s="1077" t="s">
        <v>3599</v>
      </c>
      <c r="E191" s="1077" t="s">
        <v>4126</v>
      </c>
      <c r="F191" s="1185">
        <v>2</v>
      </c>
      <c r="G191" s="1178"/>
      <c r="H191" s="1178"/>
      <c r="I191" s="1178"/>
      <c r="J191" s="1178"/>
      <c r="K191" s="1178"/>
      <c r="L191" s="1178"/>
      <c r="M191" s="1178"/>
      <c r="N191" s="1178"/>
      <c r="O191" s="1178"/>
      <c r="P191" s="1178"/>
      <c r="Q191" s="1178"/>
      <c r="R191" s="1178"/>
      <c r="S191" s="1178"/>
      <c r="T191" s="1178"/>
      <c r="U191" s="1178"/>
      <c r="V191" s="1178"/>
      <c r="W191" s="1178">
        <v>34.799999999999997</v>
      </c>
      <c r="X191" s="1178">
        <v>4.8</v>
      </c>
      <c r="Y191" s="1178">
        <v>32.1</v>
      </c>
      <c r="Z191" s="1178">
        <v>3</v>
      </c>
      <c r="AA191" s="1178"/>
      <c r="AB191" s="1178"/>
      <c r="AC191" s="1178"/>
      <c r="AD191" s="1179"/>
      <c r="AH191" s="251">
        <v>152</v>
      </c>
      <c r="AI191" s="251" t="e">
        <f t="shared" si="23"/>
        <v>#N/A</v>
      </c>
      <c r="AJ191" s="251" t="e">
        <f t="shared" ca="1" si="26"/>
        <v>#N/A</v>
      </c>
      <c r="AL191" s="251">
        <f t="shared" ca="1" si="27"/>
        <v>1987</v>
      </c>
      <c r="AM191" s="251" t="e">
        <f t="shared" ca="1" si="22"/>
        <v>#N/A</v>
      </c>
      <c r="AN191" s="251" t="e">
        <f t="shared" ca="1" si="24"/>
        <v>#N/A</v>
      </c>
      <c r="AO191" s="251" t="e">
        <f t="shared" ca="1" si="25"/>
        <v>#N/A</v>
      </c>
    </row>
    <row r="192" spans="1:41" x14ac:dyDescent="0.2">
      <c r="A192">
        <f t="shared" si="21"/>
        <v>7</v>
      </c>
      <c r="B192">
        <v>183</v>
      </c>
      <c r="C192" s="1078">
        <v>3</v>
      </c>
      <c r="D192" s="1077" t="s">
        <v>3599</v>
      </c>
      <c r="E192" s="1077" t="s">
        <v>4785</v>
      </c>
      <c r="F192" s="1185">
        <v>2</v>
      </c>
      <c r="G192" s="1178"/>
      <c r="H192" s="1178"/>
      <c r="I192" s="1178"/>
      <c r="J192" s="1178"/>
      <c r="K192" s="1178"/>
      <c r="L192" s="1178"/>
      <c r="M192" s="1178"/>
      <c r="N192" s="1178"/>
      <c r="O192" s="1178"/>
      <c r="P192" s="1178"/>
      <c r="Q192" s="1178"/>
      <c r="R192" s="1178"/>
      <c r="S192" s="1178"/>
      <c r="T192" s="1178"/>
      <c r="U192" s="1178"/>
      <c r="V192" s="1178"/>
      <c r="W192" s="1178">
        <v>33.700000000000003</v>
      </c>
      <c r="X192" s="1178">
        <v>4.5999999999999996</v>
      </c>
      <c r="Y192" s="1178">
        <v>30.3</v>
      </c>
      <c r="Z192" s="1178">
        <v>2.9</v>
      </c>
      <c r="AA192" s="1178"/>
      <c r="AB192" s="1178"/>
      <c r="AC192" s="1178"/>
      <c r="AD192" s="1179"/>
      <c r="AH192" s="251">
        <v>153</v>
      </c>
      <c r="AI192" s="251" t="e">
        <f t="shared" si="23"/>
        <v>#N/A</v>
      </c>
      <c r="AJ192" s="251" t="e">
        <f t="shared" ca="1" si="26"/>
        <v>#N/A</v>
      </c>
      <c r="AL192" s="251">
        <f t="shared" ca="1" si="27"/>
        <v>1988</v>
      </c>
      <c r="AM192" s="251" t="e">
        <f t="shared" ca="1" si="22"/>
        <v>#N/A</v>
      </c>
      <c r="AN192" s="251" t="e">
        <f t="shared" ca="1" si="24"/>
        <v>#N/A</v>
      </c>
      <c r="AO192" s="251" t="e">
        <f t="shared" ca="1" si="25"/>
        <v>#N/A</v>
      </c>
    </row>
    <row r="193" spans="1:41" x14ac:dyDescent="0.2">
      <c r="A193">
        <f t="shared" si="21"/>
        <v>7</v>
      </c>
      <c r="B193">
        <v>184</v>
      </c>
      <c r="C193" s="1078">
        <v>3</v>
      </c>
      <c r="D193" s="1077" t="s">
        <v>3599</v>
      </c>
      <c r="E193" s="1077" t="s">
        <v>4127</v>
      </c>
      <c r="F193" s="1185">
        <v>2</v>
      </c>
      <c r="G193" s="1178"/>
      <c r="H193" s="1178"/>
      <c r="I193" s="1178"/>
      <c r="J193" s="1178"/>
      <c r="K193" s="1178"/>
      <c r="L193" s="1178"/>
      <c r="M193" s="1178"/>
      <c r="N193" s="1178"/>
      <c r="O193" s="1178"/>
      <c r="P193" s="1178"/>
      <c r="Q193" s="1178"/>
      <c r="R193" s="1178"/>
      <c r="S193" s="1178"/>
      <c r="T193" s="1178"/>
      <c r="U193" s="1178"/>
      <c r="V193" s="1178"/>
      <c r="W193" s="1178">
        <v>52</v>
      </c>
      <c r="X193" s="1178">
        <v>5</v>
      </c>
      <c r="Y193" s="1178">
        <v>44.1</v>
      </c>
      <c r="Z193" s="1178">
        <v>2.8</v>
      </c>
      <c r="AA193" s="1178"/>
      <c r="AB193" s="1178"/>
      <c r="AC193" s="1178"/>
      <c r="AD193" s="1179"/>
      <c r="AH193" s="251">
        <v>154</v>
      </c>
      <c r="AI193" s="251" t="e">
        <f t="shared" si="23"/>
        <v>#N/A</v>
      </c>
      <c r="AJ193" s="251" t="e">
        <f t="shared" ca="1" si="26"/>
        <v>#N/A</v>
      </c>
      <c r="AL193" s="251">
        <f t="shared" ca="1" si="27"/>
        <v>1989</v>
      </c>
      <c r="AM193" s="251" t="e">
        <f t="shared" ca="1" si="22"/>
        <v>#N/A</v>
      </c>
      <c r="AN193" s="251" t="e">
        <f t="shared" ca="1" si="24"/>
        <v>#N/A</v>
      </c>
      <c r="AO193" s="251" t="e">
        <f t="shared" ca="1" si="25"/>
        <v>#N/A</v>
      </c>
    </row>
    <row r="194" spans="1:41" x14ac:dyDescent="0.2">
      <c r="A194">
        <f t="shared" si="21"/>
        <v>7</v>
      </c>
      <c r="B194">
        <v>185</v>
      </c>
      <c r="C194" s="1078">
        <v>3</v>
      </c>
      <c r="D194" s="1077" t="s">
        <v>3599</v>
      </c>
      <c r="E194" s="1077" t="s">
        <v>4786</v>
      </c>
      <c r="F194" s="1185">
        <v>2</v>
      </c>
      <c r="G194" s="1178"/>
      <c r="H194" s="1178"/>
      <c r="I194" s="1178"/>
      <c r="J194" s="1178"/>
      <c r="K194" s="1178"/>
      <c r="L194" s="1178"/>
      <c r="M194" s="1178"/>
      <c r="N194" s="1178"/>
      <c r="O194" s="1178"/>
      <c r="P194" s="1178"/>
      <c r="Q194" s="1178"/>
      <c r="R194" s="1178"/>
      <c r="S194" s="1178"/>
      <c r="T194" s="1178"/>
      <c r="U194" s="1178"/>
      <c r="V194" s="1178"/>
      <c r="W194" s="1178">
        <v>48.4</v>
      </c>
      <c r="X194" s="1178">
        <v>4.5</v>
      </c>
      <c r="Y194" s="1178">
        <v>38.1</v>
      </c>
      <c r="Z194" s="1178">
        <v>2.4</v>
      </c>
      <c r="AA194" s="1178"/>
      <c r="AB194" s="1178"/>
      <c r="AC194" s="1178"/>
      <c r="AD194" s="1179"/>
      <c r="AH194" s="251">
        <v>155</v>
      </c>
      <c r="AI194" s="251" t="e">
        <f t="shared" si="23"/>
        <v>#N/A</v>
      </c>
      <c r="AJ194" s="251" t="e">
        <f t="shared" ca="1" si="26"/>
        <v>#N/A</v>
      </c>
      <c r="AL194" s="251">
        <f t="shared" ca="1" si="27"/>
        <v>1990</v>
      </c>
      <c r="AM194" s="251" t="e">
        <f t="shared" ca="1" si="22"/>
        <v>#N/A</v>
      </c>
      <c r="AN194" s="251" t="e">
        <f t="shared" ca="1" si="24"/>
        <v>#N/A</v>
      </c>
      <c r="AO194" s="251" t="e">
        <f t="shared" ca="1" si="25"/>
        <v>#N/A</v>
      </c>
    </row>
    <row r="195" spans="1:41" x14ac:dyDescent="0.2">
      <c r="A195">
        <f t="shared" si="21"/>
        <v>7</v>
      </c>
      <c r="B195">
        <v>186</v>
      </c>
      <c r="C195" s="1078">
        <v>3</v>
      </c>
      <c r="D195" s="1077" t="s">
        <v>3599</v>
      </c>
      <c r="E195" s="1077" t="s">
        <v>4111</v>
      </c>
      <c r="F195" s="1185">
        <v>1</v>
      </c>
      <c r="G195" s="1178"/>
      <c r="H195" s="1178"/>
      <c r="I195" s="1178"/>
      <c r="J195" s="1178"/>
      <c r="K195" s="1178"/>
      <c r="L195" s="1178"/>
      <c r="M195" s="1178"/>
      <c r="N195" s="1178"/>
      <c r="O195" s="1178"/>
      <c r="P195" s="1178"/>
      <c r="Q195" s="1178"/>
      <c r="R195" s="1178"/>
      <c r="S195" s="1178"/>
      <c r="T195" s="1178"/>
      <c r="U195" s="1178"/>
      <c r="V195" s="1178"/>
      <c r="W195" s="1178">
        <v>6.1</v>
      </c>
      <c r="X195" s="1178">
        <v>4.7</v>
      </c>
      <c r="Y195" s="1178">
        <v>5.5</v>
      </c>
      <c r="Z195" s="1178">
        <v>2.8</v>
      </c>
      <c r="AA195" s="1178"/>
      <c r="AB195" s="1178"/>
      <c r="AC195" s="1178"/>
      <c r="AD195" s="1179"/>
      <c r="AH195" s="251">
        <v>156</v>
      </c>
      <c r="AI195" s="251" t="e">
        <f t="shared" si="23"/>
        <v>#N/A</v>
      </c>
      <c r="AJ195" s="251" t="e">
        <f t="shared" ca="1" si="26"/>
        <v>#N/A</v>
      </c>
      <c r="AL195" s="251">
        <f t="shared" ca="1" si="27"/>
        <v>1991</v>
      </c>
      <c r="AM195" s="251" t="e">
        <f t="shared" ca="1" si="22"/>
        <v>#N/A</v>
      </c>
      <c r="AN195" s="251" t="e">
        <f t="shared" ca="1" si="24"/>
        <v>#N/A</v>
      </c>
      <c r="AO195" s="251" t="e">
        <f t="shared" ca="1" si="25"/>
        <v>#N/A</v>
      </c>
    </row>
    <row r="196" spans="1:41" x14ac:dyDescent="0.2">
      <c r="A196">
        <f t="shared" si="21"/>
        <v>7</v>
      </c>
      <c r="B196">
        <v>187</v>
      </c>
      <c r="C196" s="1078">
        <v>3</v>
      </c>
      <c r="D196" s="1077" t="s">
        <v>3599</v>
      </c>
      <c r="E196" s="1077" t="s">
        <v>4787</v>
      </c>
      <c r="F196" s="1185">
        <v>2</v>
      </c>
      <c r="G196" s="1178"/>
      <c r="H196" s="1178"/>
      <c r="I196" s="1178"/>
      <c r="J196" s="1178"/>
      <c r="K196" s="1178"/>
      <c r="L196" s="1178"/>
      <c r="M196" s="1178"/>
      <c r="N196" s="1178"/>
      <c r="O196" s="1178"/>
      <c r="P196" s="1178"/>
      <c r="Q196" s="1178"/>
      <c r="R196" s="1178"/>
      <c r="S196" s="1178"/>
      <c r="T196" s="1178"/>
      <c r="U196" s="1178"/>
      <c r="V196" s="1178"/>
      <c r="W196" s="1178">
        <v>69.8</v>
      </c>
      <c r="X196" s="1178">
        <v>4.4000000000000004</v>
      </c>
      <c r="Y196" s="1178">
        <v>56.9</v>
      </c>
      <c r="Z196" s="1178">
        <v>2.5</v>
      </c>
      <c r="AA196" s="1178"/>
      <c r="AB196" s="1178"/>
      <c r="AC196" s="1178"/>
      <c r="AD196" s="1179"/>
      <c r="AH196" s="251">
        <v>157</v>
      </c>
      <c r="AI196" s="251" t="e">
        <f t="shared" si="23"/>
        <v>#N/A</v>
      </c>
      <c r="AJ196" s="251" t="e">
        <f t="shared" ca="1" si="26"/>
        <v>#N/A</v>
      </c>
      <c r="AL196" s="251">
        <f t="shared" ca="1" si="27"/>
        <v>1992</v>
      </c>
      <c r="AM196" s="251" t="e">
        <f t="shared" ca="1" si="22"/>
        <v>#N/A</v>
      </c>
      <c r="AN196" s="251" t="e">
        <f t="shared" ca="1" si="24"/>
        <v>#N/A</v>
      </c>
      <c r="AO196" s="251" t="e">
        <f t="shared" ca="1" si="25"/>
        <v>#N/A</v>
      </c>
    </row>
    <row r="197" spans="1:41" x14ac:dyDescent="0.2">
      <c r="A197">
        <f t="shared" si="21"/>
        <v>7</v>
      </c>
      <c r="B197">
        <v>188</v>
      </c>
      <c r="C197" s="1081">
        <v>3</v>
      </c>
      <c r="D197" s="1082" t="s">
        <v>3599</v>
      </c>
      <c r="E197" s="1082" t="s">
        <v>4128</v>
      </c>
      <c r="F197" s="1188">
        <v>2</v>
      </c>
      <c r="G197" s="1196"/>
      <c r="H197" s="1196"/>
      <c r="I197" s="1196"/>
      <c r="J197" s="1196"/>
      <c r="K197" s="1196"/>
      <c r="L197" s="1196"/>
      <c r="M197" s="1196"/>
      <c r="N197" s="1196"/>
      <c r="O197" s="1196"/>
      <c r="P197" s="1196"/>
      <c r="Q197" s="1196"/>
      <c r="R197" s="1196"/>
      <c r="S197" s="1196"/>
      <c r="T197" s="1196"/>
      <c r="U197" s="1196"/>
      <c r="V197" s="1196"/>
      <c r="W197" s="1196">
        <v>73.5</v>
      </c>
      <c r="X197" s="1196">
        <v>4.8</v>
      </c>
      <c r="Y197" s="1196">
        <v>67.3</v>
      </c>
      <c r="Z197" s="1196">
        <v>3</v>
      </c>
      <c r="AA197" s="1196"/>
      <c r="AB197" s="1196"/>
      <c r="AC197" s="1196"/>
      <c r="AD197" s="1197"/>
      <c r="AH197" s="251">
        <v>158</v>
      </c>
      <c r="AI197" s="251" t="e">
        <f t="shared" si="23"/>
        <v>#N/A</v>
      </c>
      <c r="AJ197" s="251" t="e">
        <f t="shared" ca="1" si="26"/>
        <v>#N/A</v>
      </c>
      <c r="AL197" s="251">
        <f t="shared" ca="1" si="27"/>
        <v>1993</v>
      </c>
      <c r="AM197" s="251" t="e">
        <f t="shared" ca="1" si="22"/>
        <v>#N/A</v>
      </c>
      <c r="AN197" s="251" t="e">
        <f t="shared" ca="1" si="24"/>
        <v>#N/A</v>
      </c>
      <c r="AO197" s="251" t="e">
        <f t="shared" ca="1" si="25"/>
        <v>#N/A</v>
      </c>
    </row>
    <row r="198" spans="1:41" x14ac:dyDescent="0.2">
      <c r="A198">
        <f t="shared" si="21"/>
        <v>7</v>
      </c>
      <c r="B198">
        <v>189</v>
      </c>
      <c r="C198" s="1190">
        <v>3</v>
      </c>
      <c r="D198" s="1191" t="s">
        <v>3599</v>
      </c>
      <c r="E198" s="1191" t="s">
        <v>4115</v>
      </c>
      <c r="F198" s="1192">
        <v>1</v>
      </c>
      <c r="G198" s="1198"/>
      <c r="H198" s="1198"/>
      <c r="I198" s="1198"/>
      <c r="J198" s="1198"/>
      <c r="K198" s="1198"/>
      <c r="L198" s="1198"/>
      <c r="M198" s="1198"/>
      <c r="N198" s="1198"/>
      <c r="O198" s="1198"/>
      <c r="P198" s="1198"/>
      <c r="Q198" s="1198"/>
      <c r="R198" s="1198"/>
      <c r="S198" s="1198"/>
      <c r="T198" s="1198"/>
      <c r="U198" s="1198"/>
      <c r="V198" s="1198"/>
      <c r="W198" s="1198">
        <v>8.1</v>
      </c>
      <c r="X198" s="1198">
        <v>4.8</v>
      </c>
      <c r="Y198" s="1198">
        <v>7.1</v>
      </c>
      <c r="Z198" s="1198">
        <v>2.8</v>
      </c>
      <c r="AA198" s="1198"/>
      <c r="AB198" s="1198"/>
      <c r="AC198" s="1198"/>
      <c r="AD198" s="1199"/>
      <c r="AH198" s="251">
        <v>159</v>
      </c>
      <c r="AI198" s="251" t="e">
        <f t="shared" si="23"/>
        <v>#N/A</v>
      </c>
      <c r="AJ198" s="251" t="e">
        <f t="shared" ca="1" si="26"/>
        <v>#N/A</v>
      </c>
      <c r="AL198" s="251">
        <f t="shared" ca="1" si="27"/>
        <v>1994</v>
      </c>
      <c r="AM198" s="251" t="e">
        <f t="shared" ca="1" si="22"/>
        <v>#N/A</v>
      </c>
      <c r="AN198" s="251" t="e">
        <f t="shared" ca="1" si="24"/>
        <v>#N/A</v>
      </c>
      <c r="AO198" s="251" t="e">
        <f t="shared" ca="1" si="25"/>
        <v>#N/A</v>
      </c>
    </row>
    <row r="199" spans="1:41" x14ac:dyDescent="0.2">
      <c r="A199">
        <f t="shared" si="21"/>
        <v>7</v>
      </c>
      <c r="B199">
        <v>190</v>
      </c>
      <c r="C199" s="1078">
        <v>3</v>
      </c>
      <c r="D199" s="1077" t="s">
        <v>3599</v>
      </c>
      <c r="E199" s="1077" t="s">
        <v>4782</v>
      </c>
      <c r="F199" s="1185">
        <v>2</v>
      </c>
      <c r="G199" s="1178"/>
      <c r="H199" s="1178"/>
      <c r="I199" s="1178"/>
      <c r="J199" s="1178"/>
      <c r="K199" s="1178"/>
      <c r="L199" s="1178"/>
      <c r="M199" s="1178"/>
      <c r="N199" s="1178"/>
      <c r="O199" s="1178"/>
      <c r="P199" s="1178"/>
      <c r="Q199" s="1178"/>
      <c r="R199" s="1178"/>
      <c r="S199" s="1178"/>
      <c r="T199" s="1178"/>
      <c r="U199" s="1178"/>
      <c r="V199" s="1178"/>
      <c r="W199" s="1178">
        <v>86</v>
      </c>
      <c r="X199" s="1178">
        <v>4.7</v>
      </c>
      <c r="Y199" s="1178">
        <v>78.900000000000006</v>
      </c>
      <c r="Z199" s="1178">
        <v>3</v>
      </c>
      <c r="AA199" s="1178"/>
      <c r="AB199" s="1178"/>
      <c r="AC199" s="1178"/>
      <c r="AD199" s="1179"/>
      <c r="AH199" s="251">
        <v>160</v>
      </c>
      <c r="AI199" s="251" t="e">
        <f t="shared" si="23"/>
        <v>#N/A</v>
      </c>
      <c r="AJ199" s="251" t="e">
        <f t="shared" ca="1" si="26"/>
        <v>#N/A</v>
      </c>
      <c r="AL199" s="251">
        <f t="shared" ca="1" si="27"/>
        <v>1995</v>
      </c>
      <c r="AM199" s="251" t="e">
        <f t="shared" ca="1" si="22"/>
        <v>#N/A</v>
      </c>
      <c r="AN199" s="251" t="e">
        <f t="shared" ca="1" si="24"/>
        <v>#N/A</v>
      </c>
      <c r="AO199" s="251" t="e">
        <f t="shared" ca="1" si="25"/>
        <v>#N/A</v>
      </c>
    </row>
    <row r="200" spans="1:41" x14ac:dyDescent="0.2">
      <c r="A200">
        <f t="shared" si="21"/>
        <v>7</v>
      </c>
      <c r="B200">
        <v>191</v>
      </c>
      <c r="C200" s="1078">
        <v>3</v>
      </c>
      <c r="D200" s="1077" t="s">
        <v>3599</v>
      </c>
      <c r="E200" s="1077" t="s">
        <v>4124</v>
      </c>
      <c r="F200" s="1185">
        <v>2</v>
      </c>
      <c r="G200" s="1178"/>
      <c r="H200" s="1178"/>
      <c r="I200" s="1178"/>
      <c r="J200" s="1178"/>
      <c r="K200" s="1178"/>
      <c r="L200" s="1178"/>
      <c r="M200" s="1178"/>
      <c r="N200" s="1178"/>
      <c r="O200" s="1178"/>
      <c r="P200" s="1178"/>
      <c r="Q200" s="1178"/>
      <c r="R200" s="1178"/>
      <c r="S200" s="1178"/>
      <c r="T200" s="1178"/>
      <c r="U200" s="1178"/>
      <c r="V200" s="1178"/>
      <c r="W200" s="1178">
        <v>21.4</v>
      </c>
      <c r="X200" s="1178">
        <v>4.4000000000000004</v>
      </c>
      <c r="Y200" s="1178">
        <v>21</v>
      </c>
      <c r="Z200" s="1178">
        <v>3</v>
      </c>
      <c r="AA200" s="1178"/>
      <c r="AB200" s="1178"/>
      <c r="AC200" s="1178"/>
      <c r="AD200" s="1179"/>
      <c r="AH200" s="251">
        <v>161</v>
      </c>
      <c r="AI200" s="251" t="e">
        <f t="shared" ref="AI200:AI231" si="28">MATCH(AH200,$A$10:$A$2000,0)</f>
        <v>#N/A</v>
      </c>
      <c r="AJ200" s="251" t="e">
        <f t="shared" ca="1" si="26"/>
        <v>#N/A</v>
      </c>
      <c r="AL200" s="251">
        <f t="shared" ca="1" si="27"/>
        <v>1996</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x14ac:dyDescent="0.2">
      <c r="A201">
        <f t="shared" si="21"/>
        <v>7</v>
      </c>
      <c r="B201">
        <v>192</v>
      </c>
      <c r="C201" s="1078">
        <v>3</v>
      </c>
      <c r="D201" s="1077" t="s">
        <v>3599</v>
      </c>
      <c r="E201" s="1077" t="s">
        <v>4784</v>
      </c>
      <c r="F201" s="1185">
        <v>2</v>
      </c>
      <c r="G201" s="1178"/>
      <c r="H201" s="1178"/>
      <c r="I201" s="1178"/>
      <c r="J201" s="1178"/>
      <c r="K201" s="1178"/>
      <c r="L201" s="1178"/>
      <c r="M201" s="1178"/>
      <c r="N201" s="1178"/>
      <c r="O201" s="1178"/>
      <c r="P201" s="1178"/>
      <c r="Q201" s="1178"/>
      <c r="R201" s="1178"/>
      <c r="S201" s="1178"/>
      <c r="T201" s="1178"/>
      <c r="U201" s="1178"/>
      <c r="V201" s="1178"/>
      <c r="W201" s="1178">
        <v>88.6</v>
      </c>
      <c r="X201" s="1178">
        <v>4.3</v>
      </c>
      <c r="Y201" s="1178">
        <v>84.9</v>
      </c>
      <c r="Z201" s="1178">
        <v>2.9</v>
      </c>
      <c r="AA201" s="1178"/>
      <c r="AB201" s="1178"/>
      <c r="AC201" s="1178"/>
      <c r="AD201" s="1179"/>
      <c r="AH201" s="251">
        <v>162</v>
      </c>
      <c r="AI201" s="251" t="e">
        <f t="shared" si="28"/>
        <v>#N/A</v>
      </c>
      <c r="AJ201" s="251" t="e">
        <f t="shared" ca="1" si="26"/>
        <v>#N/A</v>
      </c>
      <c r="AL201" s="251">
        <f t="shared" ca="1" si="27"/>
        <v>1997</v>
      </c>
      <c r="AM201" s="251" t="e">
        <f t="shared" ca="1" si="22"/>
        <v>#N/A</v>
      </c>
      <c r="AN201" s="251" t="e">
        <f t="shared" ca="1" si="29"/>
        <v>#N/A</v>
      </c>
      <c r="AO201" s="251" t="e">
        <f t="shared" ca="1" si="30"/>
        <v>#N/A</v>
      </c>
    </row>
    <row r="202" spans="1:41" x14ac:dyDescent="0.2">
      <c r="A202">
        <f t="shared" si="21"/>
        <v>7</v>
      </c>
      <c r="B202">
        <v>193</v>
      </c>
      <c r="C202" s="1078">
        <v>3</v>
      </c>
      <c r="D202" s="1077" t="s">
        <v>3599</v>
      </c>
      <c r="E202" s="1077" t="s">
        <v>4117</v>
      </c>
      <c r="F202" s="1185">
        <v>1</v>
      </c>
      <c r="G202" s="1178"/>
      <c r="H202" s="1178"/>
      <c r="I202" s="1178"/>
      <c r="J202" s="1178"/>
      <c r="K202" s="1178"/>
      <c r="L202" s="1178"/>
      <c r="M202" s="1178"/>
      <c r="N202" s="1178"/>
      <c r="O202" s="1178"/>
      <c r="P202" s="1178"/>
      <c r="Q202" s="1178"/>
      <c r="R202" s="1178"/>
      <c r="S202" s="1178"/>
      <c r="T202" s="1178"/>
      <c r="U202" s="1178"/>
      <c r="V202" s="1178"/>
      <c r="W202" s="1178">
        <v>10.6</v>
      </c>
      <c r="X202" s="1178">
        <v>5</v>
      </c>
      <c r="Y202" s="1178">
        <v>9.8000000000000007</v>
      </c>
      <c r="Z202" s="1178">
        <v>3.1</v>
      </c>
      <c r="AA202" s="1178"/>
      <c r="AB202" s="1178"/>
      <c r="AC202" s="1178"/>
      <c r="AD202" s="1179"/>
      <c r="AH202" s="251">
        <v>163</v>
      </c>
      <c r="AI202" s="251" t="e">
        <f t="shared" si="28"/>
        <v>#N/A</v>
      </c>
      <c r="AJ202" s="251" t="e">
        <f t="shared" ca="1" si="26"/>
        <v>#N/A</v>
      </c>
      <c r="AL202" s="251">
        <f t="shared" ca="1" si="27"/>
        <v>1998</v>
      </c>
      <c r="AM202" s="251" t="e">
        <f t="shared" ca="1" si="22"/>
        <v>#N/A</v>
      </c>
      <c r="AN202" s="251" t="e">
        <f t="shared" ca="1" si="29"/>
        <v>#N/A</v>
      </c>
      <c r="AO202" s="251" t="e">
        <f t="shared" ca="1" si="30"/>
        <v>#N/A</v>
      </c>
    </row>
    <row r="203" spans="1:41" x14ac:dyDescent="0.2">
      <c r="A203">
        <f t="shared" si="21"/>
        <v>7</v>
      </c>
      <c r="B203">
        <v>194</v>
      </c>
      <c r="C203" s="1078">
        <v>3</v>
      </c>
      <c r="D203" s="1077" t="s">
        <v>3599</v>
      </c>
      <c r="E203" s="1077" t="s">
        <v>4121</v>
      </c>
      <c r="F203" s="1185">
        <v>1</v>
      </c>
      <c r="G203" s="1178"/>
      <c r="H203" s="1178"/>
      <c r="I203" s="1178"/>
      <c r="J203" s="1178"/>
      <c r="K203" s="1178"/>
      <c r="L203" s="1178"/>
      <c r="M203" s="1178"/>
      <c r="N203" s="1178"/>
      <c r="O203" s="1178"/>
      <c r="P203" s="1178"/>
      <c r="Q203" s="1178"/>
      <c r="R203" s="1178"/>
      <c r="S203" s="1178"/>
      <c r="T203" s="1178"/>
      <c r="U203" s="1178"/>
      <c r="V203" s="1178"/>
      <c r="W203" s="1178">
        <v>13.1</v>
      </c>
      <c r="X203" s="1178">
        <v>4.7</v>
      </c>
      <c r="Y203" s="1178">
        <v>12.2</v>
      </c>
      <c r="Z203" s="1178">
        <v>3</v>
      </c>
      <c r="AA203" s="1178"/>
      <c r="AB203" s="1178"/>
      <c r="AC203" s="1178"/>
      <c r="AD203" s="1179"/>
      <c r="AH203" s="251">
        <v>164</v>
      </c>
      <c r="AI203" s="251" t="e">
        <f t="shared" si="28"/>
        <v>#N/A</v>
      </c>
      <c r="AJ203" s="251" t="e">
        <f t="shared" ca="1" si="26"/>
        <v>#N/A</v>
      </c>
      <c r="AL203" s="251">
        <f t="shared" ca="1" si="27"/>
        <v>1999</v>
      </c>
      <c r="AM203" s="251" t="e">
        <f t="shared" ca="1" si="22"/>
        <v>#N/A</v>
      </c>
      <c r="AN203" s="251" t="e">
        <f t="shared" ca="1" si="29"/>
        <v>#N/A</v>
      </c>
      <c r="AO203" s="251" t="e">
        <f t="shared" ca="1" si="30"/>
        <v>#N/A</v>
      </c>
    </row>
    <row r="204" spans="1:41" x14ac:dyDescent="0.2">
      <c r="A204">
        <f t="shared" ref="A204:A267" si="31">A203+(D204&lt;&gt;D203)*1</f>
        <v>7</v>
      </c>
      <c r="B204">
        <v>195</v>
      </c>
      <c r="C204" s="1078">
        <v>3</v>
      </c>
      <c r="D204" s="1077" t="s">
        <v>3599</v>
      </c>
      <c r="E204" s="1077" t="s">
        <v>4109</v>
      </c>
      <c r="F204" s="1185">
        <v>1</v>
      </c>
      <c r="G204" s="1178"/>
      <c r="H204" s="1178"/>
      <c r="I204" s="1178"/>
      <c r="J204" s="1178"/>
      <c r="K204" s="1178"/>
      <c r="L204" s="1178"/>
      <c r="M204" s="1178"/>
      <c r="N204" s="1178"/>
      <c r="O204" s="1178"/>
      <c r="P204" s="1178"/>
      <c r="Q204" s="1178"/>
      <c r="R204" s="1178"/>
      <c r="S204" s="1178"/>
      <c r="T204" s="1178"/>
      <c r="U204" s="1178"/>
      <c r="V204" s="1178"/>
      <c r="W204" s="1178">
        <v>5.9</v>
      </c>
      <c r="X204" s="1178">
        <v>4.7</v>
      </c>
      <c r="Y204" s="1178">
        <v>5.4</v>
      </c>
      <c r="Z204" s="1178">
        <v>2.9</v>
      </c>
      <c r="AA204" s="1178"/>
      <c r="AB204" s="1178"/>
      <c r="AC204" s="1178"/>
      <c r="AD204" s="1179"/>
      <c r="AH204" s="251">
        <v>165</v>
      </c>
      <c r="AI204" s="251" t="e">
        <f t="shared" si="28"/>
        <v>#N/A</v>
      </c>
      <c r="AJ204" s="251" t="e">
        <f t="shared" ca="1" si="26"/>
        <v>#N/A</v>
      </c>
      <c r="AL204" s="251">
        <f t="shared" ca="1" si="27"/>
        <v>2000</v>
      </c>
      <c r="AM204" s="251" t="e">
        <f t="shared" ca="1" si="22"/>
        <v>#N/A</v>
      </c>
      <c r="AN204" s="251" t="e">
        <f t="shared" ca="1" si="29"/>
        <v>#N/A</v>
      </c>
      <c r="AO204" s="251" t="e">
        <f t="shared" ca="1" si="30"/>
        <v>#N/A</v>
      </c>
    </row>
    <row r="205" spans="1:41" x14ac:dyDescent="0.2">
      <c r="A205">
        <f t="shared" si="31"/>
        <v>7</v>
      </c>
      <c r="B205">
        <v>196</v>
      </c>
      <c r="C205" s="1078">
        <v>3</v>
      </c>
      <c r="D205" s="1077" t="s">
        <v>3599</v>
      </c>
      <c r="E205" s="1077" t="s">
        <v>4113</v>
      </c>
      <c r="F205" s="1185">
        <v>1</v>
      </c>
      <c r="G205" s="1178"/>
      <c r="H205" s="1178"/>
      <c r="I205" s="1178"/>
      <c r="J205" s="1178"/>
      <c r="K205" s="1178"/>
      <c r="L205" s="1178"/>
      <c r="M205" s="1178"/>
      <c r="N205" s="1178"/>
      <c r="O205" s="1178"/>
      <c r="P205" s="1178"/>
      <c r="Q205" s="1178"/>
      <c r="R205" s="1178"/>
      <c r="S205" s="1178"/>
      <c r="T205" s="1178"/>
      <c r="U205" s="1178"/>
      <c r="V205" s="1178"/>
      <c r="W205" s="1178">
        <v>7.8</v>
      </c>
      <c r="X205" s="1178">
        <v>4.8</v>
      </c>
      <c r="Y205" s="1178">
        <v>7.2</v>
      </c>
      <c r="Z205" s="1178">
        <v>2.8</v>
      </c>
      <c r="AA205" s="1178"/>
      <c r="AB205" s="1178"/>
      <c r="AC205" s="1178"/>
      <c r="AD205" s="1179"/>
      <c r="AH205" s="251">
        <v>166</v>
      </c>
      <c r="AI205" s="251" t="e">
        <f t="shared" si="28"/>
        <v>#N/A</v>
      </c>
      <c r="AJ205" s="251" t="e">
        <f t="shared" ca="1" si="26"/>
        <v>#N/A</v>
      </c>
      <c r="AL205" s="251">
        <f t="shared" ca="1" si="27"/>
        <v>2001</v>
      </c>
      <c r="AM205" s="251" t="e">
        <f t="shared" ca="1" si="22"/>
        <v>#N/A</v>
      </c>
      <c r="AN205" s="251" t="e">
        <f t="shared" ca="1" si="29"/>
        <v>#N/A</v>
      </c>
      <c r="AO205" s="251" t="e">
        <f t="shared" ca="1" si="30"/>
        <v>#N/A</v>
      </c>
    </row>
    <row r="206" spans="1:41" x14ac:dyDescent="0.2">
      <c r="A206">
        <f t="shared" si="31"/>
        <v>7</v>
      </c>
      <c r="B206">
        <v>197</v>
      </c>
      <c r="C206" s="1078">
        <v>4</v>
      </c>
      <c r="D206" s="1077" t="s">
        <v>3599</v>
      </c>
      <c r="E206" s="1077" t="s">
        <v>4129</v>
      </c>
      <c r="F206" s="1185">
        <v>1</v>
      </c>
      <c r="G206" s="1178"/>
      <c r="H206" s="1178"/>
      <c r="I206" s="1178"/>
      <c r="J206" s="1178"/>
      <c r="K206" s="1178"/>
      <c r="L206" s="1178"/>
      <c r="M206" s="1178"/>
      <c r="N206" s="1178"/>
      <c r="O206" s="1178"/>
      <c r="P206" s="1178"/>
      <c r="Q206" s="1178"/>
      <c r="R206" s="1178"/>
      <c r="S206" s="1178"/>
      <c r="T206" s="1178"/>
      <c r="U206" s="1178"/>
      <c r="V206" s="1178"/>
      <c r="W206" s="1178"/>
      <c r="X206" s="1178"/>
      <c r="Y206" s="1178"/>
      <c r="Z206" s="1178"/>
      <c r="AA206" s="1178">
        <v>9.6</v>
      </c>
      <c r="AB206" s="1178">
        <v>5.9</v>
      </c>
      <c r="AC206" s="1178">
        <v>8.4</v>
      </c>
      <c r="AD206" s="1179">
        <v>3.2</v>
      </c>
      <c r="AH206" s="251">
        <v>167</v>
      </c>
      <c r="AI206" s="251" t="e">
        <f t="shared" si="28"/>
        <v>#N/A</v>
      </c>
      <c r="AJ206" s="251" t="e">
        <f t="shared" ca="1" si="26"/>
        <v>#N/A</v>
      </c>
      <c r="AL206" s="251">
        <f t="shared" ca="1" si="27"/>
        <v>2002</v>
      </c>
      <c r="AM206" s="251" t="e">
        <f t="shared" ca="1" si="22"/>
        <v>#N/A</v>
      </c>
      <c r="AN206" s="251" t="e">
        <f t="shared" ca="1" si="29"/>
        <v>#N/A</v>
      </c>
      <c r="AO206" s="251" t="e">
        <f t="shared" ca="1" si="30"/>
        <v>#N/A</v>
      </c>
    </row>
    <row r="207" spans="1:41" x14ac:dyDescent="0.2">
      <c r="A207">
        <f t="shared" si="31"/>
        <v>7</v>
      </c>
      <c r="B207">
        <v>198</v>
      </c>
      <c r="C207" s="1078">
        <v>4</v>
      </c>
      <c r="D207" s="1077" t="s">
        <v>3599</v>
      </c>
      <c r="E207" s="1077" t="s">
        <v>4788</v>
      </c>
      <c r="F207" s="1185">
        <v>2</v>
      </c>
      <c r="G207" s="1178"/>
      <c r="H207" s="1178"/>
      <c r="I207" s="1178"/>
      <c r="J207" s="1178"/>
      <c r="K207" s="1178"/>
      <c r="L207" s="1178"/>
      <c r="M207" s="1178"/>
      <c r="N207" s="1178"/>
      <c r="O207" s="1178"/>
      <c r="P207" s="1178"/>
      <c r="Q207" s="1178"/>
      <c r="R207" s="1178"/>
      <c r="S207" s="1178"/>
      <c r="T207" s="1178"/>
      <c r="U207" s="1178"/>
      <c r="V207" s="1178"/>
      <c r="W207" s="1178"/>
      <c r="X207" s="1178"/>
      <c r="Y207" s="1178"/>
      <c r="Z207" s="1178"/>
      <c r="AA207" s="1178">
        <v>118.5</v>
      </c>
      <c r="AB207" s="1178">
        <v>5.9</v>
      </c>
      <c r="AC207" s="1178">
        <v>104.2</v>
      </c>
      <c r="AD207" s="1179">
        <v>3.7</v>
      </c>
      <c r="AH207" s="251">
        <v>168</v>
      </c>
      <c r="AI207" s="251" t="e">
        <f t="shared" si="28"/>
        <v>#N/A</v>
      </c>
      <c r="AJ207" s="251" t="e">
        <f t="shared" ca="1" si="26"/>
        <v>#N/A</v>
      </c>
      <c r="AL207" s="251">
        <f t="shared" ca="1" si="27"/>
        <v>2003</v>
      </c>
      <c r="AM207" s="251" t="e">
        <f t="shared" ca="1" si="22"/>
        <v>#N/A</v>
      </c>
      <c r="AN207" s="251" t="e">
        <f t="shared" ca="1" si="29"/>
        <v>#N/A</v>
      </c>
      <c r="AO207" s="251" t="e">
        <f t="shared" ca="1" si="30"/>
        <v>#N/A</v>
      </c>
    </row>
    <row r="208" spans="1:41" x14ac:dyDescent="0.2">
      <c r="A208">
        <f t="shared" si="31"/>
        <v>7</v>
      </c>
      <c r="B208">
        <v>199</v>
      </c>
      <c r="C208" s="1078">
        <v>4</v>
      </c>
      <c r="D208" s="1077" t="s">
        <v>3599</v>
      </c>
      <c r="E208" s="1077" t="s">
        <v>4130</v>
      </c>
      <c r="F208" s="1185">
        <v>1</v>
      </c>
      <c r="G208" s="1178"/>
      <c r="H208" s="1178"/>
      <c r="I208" s="1178"/>
      <c r="J208" s="1178"/>
      <c r="K208" s="1178"/>
      <c r="L208" s="1178"/>
      <c r="M208" s="1178"/>
      <c r="N208" s="1178"/>
      <c r="O208" s="1178"/>
      <c r="P208" s="1178"/>
      <c r="Q208" s="1178"/>
      <c r="R208" s="1178"/>
      <c r="S208" s="1178"/>
      <c r="T208" s="1178"/>
      <c r="U208" s="1178"/>
      <c r="V208" s="1178"/>
      <c r="W208" s="1178"/>
      <c r="X208" s="1178"/>
      <c r="Y208" s="1178"/>
      <c r="Z208" s="1178"/>
      <c r="AA208" s="1178">
        <v>13.3</v>
      </c>
      <c r="AB208" s="1178">
        <v>6.1</v>
      </c>
      <c r="AC208" s="1178">
        <v>11.5</v>
      </c>
      <c r="AD208" s="1179">
        <v>3.3</v>
      </c>
      <c r="AH208" s="251">
        <v>169</v>
      </c>
      <c r="AI208" s="251" t="e">
        <f t="shared" si="28"/>
        <v>#N/A</v>
      </c>
      <c r="AJ208" s="251" t="e">
        <f t="shared" ca="1" si="26"/>
        <v>#N/A</v>
      </c>
      <c r="AL208" s="251">
        <f t="shared" ca="1" si="27"/>
        <v>2004</v>
      </c>
      <c r="AM208" s="251" t="e">
        <f t="shared" ca="1" si="22"/>
        <v>#N/A</v>
      </c>
      <c r="AN208" s="251" t="e">
        <f t="shared" ca="1" si="29"/>
        <v>#N/A</v>
      </c>
      <c r="AO208" s="251" t="e">
        <f t="shared" ca="1" si="30"/>
        <v>#N/A</v>
      </c>
    </row>
    <row r="209" spans="1:41" x14ac:dyDescent="0.2">
      <c r="A209">
        <f t="shared" si="31"/>
        <v>7</v>
      </c>
      <c r="B209">
        <v>200</v>
      </c>
      <c r="C209" s="1078">
        <v>4</v>
      </c>
      <c r="D209" s="1077" t="s">
        <v>3599</v>
      </c>
      <c r="E209" s="1077" t="s">
        <v>4131</v>
      </c>
      <c r="F209" s="1185">
        <v>1</v>
      </c>
      <c r="G209" s="1186"/>
      <c r="H209" s="1186"/>
      <c r="I209" s="1186"/>
      <c r="J209" s="1186"/>
      <c r="K209" s="1186"/>
      <c r="L209" s="1186"/>
      <c r="M209" s="1186"/>
      <c r="N209" s="1186"/>
      <c r="O209" s="1186"/>
      <c r="P209" s="1186"/>
      <c r="Q209" s="1186"/>
      <c r="R209" s="1186"/>
      <c r="S209" s="1186"/>
      <c r="T209" s="1186"/>
      <c r="U209" s="1186"/>
      <c r="V209" s="1186"/>
      <c r="W209" s="1186"/>
      <c r="X209" s="1186"/>
      <c r="Y209" s="1186"/>
      <c r="Z209" s="1186"/>
      <c r="AA209" s="1186">
        <v>17.100000000000001</v>
      </c>
      <c r="AB209" s="1186">
        <v>5.8</v>
      </c>
      <c r="AC209" s="1186">
        <v>15.1</v>
      </c>
      <c r="AD209" s="1187">
        <v>3.6</v>
      </c>
      <c r="AH209" s="251">
        <v>170</v>
      </c>
      <c r="AI209" s="251" t="e">
        <f t="shared" si="28"/>
        <v>#N/A</v>
      </c>
      <c r="AJ209" s="251" t="e">
        <f t="shared" ca="1" si="26"/>
        <v>#N/A</v>
      </c>
      <c r="AL209" s="251">
        <f t="shared" ca="1" si="27"/>
        <v>2005</v>
      </c>
      <c r="AM209" s="251" t="e">
        <f t="shared" ca="1" si="22"/>
        <v>#N/A</v>
      </c>
      <c r="AN209" s="251" t="e">
        <f t="shared" ca="1" si="29"/>
        <v>#N/A</v>
      </c>
      <c r="AO209" s="251" t="e">
        <f t="shared" ca="1" si="30"/>
        <v>#N/A</v>
      </c>
    </row>
    <row r="210" spans="1:41" x14ac:dyDescent="0.2">
      <c r="A210">
        <f t="shared" si="31"/>
        <v>7</v>
      </c>
      <c r="B210">
        <v>201</v>
      </c>
      <c r="C210" s="1078">
        <v>4</v>
      </c>
      <c r="D210" s="1077" t="s">
        <v>3599</v>
      </c>
      <c r="E210" s="1077" t="s">
        <v>4132</v>
      </c>
      <c r="F210" s="1185">
        <v>1</v>
      </c>
      <c r="G210" s="1186"/>
      <c r="H210" s="1186"/>
      <c r="I210" s="1186"/>
      <c r="J210" s="1186"/>
      <c r="K210" s="1186"/>
      <c r="L210" s="1186"/>
      <c r="M210" s="1186"/>
      <c r="N210" s="1186"/>
      <c r="O210" s="1186"/>
      <c r="P210" s="1186"/>
      <c r="Q210" s="1186"/>
      <c r="R210" s="1186"/>
      <c r="S210" s="1186"/>
      <c r="T210" s="1186"/>
      <c r="U210" s="1186"/>
      <c r="V210" s="1186"/>
      <c r="W210" s="1186"/>
      <c r="X210" s="1186"/>
      <c r="Y210" s="1186"/>
      <c r="Z210" s="1186"/>
      <c r="AA210" s="1186">
        <v>22.3</v>
      </c>
      <c r="AB210" s="1186">
        <v>5.7</v>
      </c>
      <c r="AC210" s="1186">
        <v>20</v>
      </c>
      <c r="AD210" s="1187">
        <v>3.6</v>
      </c>
      <c r="AH210" s="251">
        <v>171</v>
      </c>
      <c r="AI210" s="251" t="e">
        <f t="shared" si="28"/>
        <v>#N/A</v>
      </c>
      <c r="AJ210" s="251" t="e">
        <f t="shared" ca="1" si="26"/>
        <v>#N/A</v>
      </c>
      <c r="AL210" s="251">
        <f t="shared" ca="1" si="27"/>
        <v>2006</v>
      </c>
      <c r="AM210" s="251" t="e">
        <f t="shared" ref="AM210:AM239" ca="1" si="32">IF(AL210&lt;$AH$13,AL210,"")</f>
        <v>#N/A</v>
      </c>
      <c r="AN210" s="251" t="e">
        <f t="shared" ca="1" si="29"/>
        <v>#N/A</v>
      </c>
      <c r="AO210" s="251" t="e">
        <f t="shared" ca="1" si="30"/>
        <v>#N/A</v>
      </c>
    </row>
    <row r="211" spans="1:41" x14ac:dyDescent="0.2">
      <c r="A211">
        <f t="shared" si="31"/>
        <v>7</v>
      </c>
      <c r="B211">
        <v>202</v>
      </c>
      <c r="C211" s="1078">
        <v>4</v>
      </c>
      <c r="D211" s="1077" t="s">
        <v>3599</v>
      </c>
      <c r="E211" s="1077" t="s">
        <v>4133</v>
      </c>
      <c r="F211" s="1185">
        <v>2</v>
      </c>
      <c r="G211" s="1186"/>
      <c r="H211" s="1186"/>
      <c r="I211" s="1186"/>
      <c r="J211" s="1186"/>
      <c r="K211" s="1186"/>
      <c r="L211" s="1186"/>
      <c r="M211" s="1186"/>
      <c r="N211" s="1186"/>
      <c r="O211" s="1186"/>
      <c r="P211" s="1186"/>
      <c r="Q211" s="1186"/>
      <c r="R211" s="1186"/>
      <c r="S211" s="1186"/>
      <c r="T211" s="1186"/>
      <c r="U211" s="1186"/>
      <c r="V211" s="1186"/>
      <c r="W211" s="1186"/>
      <c r="X211" s="1186"/>
      <c r="Y211" s="1186"/>
      <c r="Z211" s="1186"/>
      <c r="AA211" s="1186">
        <v>35.6</v>
      </c>
      <c r="AB211" s="1186">
        <v>6.2</v>
      </c>
      <c r="AC211" s="1186">
        <v>32.1</v>
      </c>
      <c r="AD211" s="1187">
        <v>3.8</v>
      </c>
      <c r="AH211" s="251">
        <v>172</v>
      </c>
      <c r="AI211" s="251" t="e">
        <f t="shared" si="28"/>
        <v>#N/A</v>
      </c>
      <c r="AJ211" s="251" t="e">
        <f t="shared" ca="1" si="26"/>
        <v>#N/A</v>
      </c>
      <c r="AL211" s="251">
        <f t="shared" ca="1" si="27"/>
        <v>2007</v>
      </c>
      <c r="AM211" s="251" t="e">
        <f t="shared" ca="1" si="32"/>
        <v>#N/A</v>
      </c>
      <c r="AN211" s="251" t="e">
        <f t="shared" ca="1" si="29"/>
        <v>#N/A</v>
      </c>
      <c r="AO211" s="251" t="e">
        <f t="shared" ca="1" si="30"/>
        <v>#N/A</v>
      </c>
    </row>
    <row r="212" spans="1:41" x14ac:dyDescent="0.2">
      <c r="A212">
        <f t="shared" si="31"/>
        <v>7</v>
      </c>
      <c r="B212">
        <v>203</v>
      </c>
      <c r="C212" s="1078">
        <v>4</v>
      </c>
      <c r="D212" s="1077" t="s">
        <v>3599</v>
      </c>
      <c r="E212" s="1077" t="s">
        <v>4134</v>
      </c>
      <c r="F212" s="1185">
        <v>1</v>
      </c>
      <c r="G212" s="1186"/>
      <c r="H212" s="1186"/>
      <c r="I212" s="1186"/>
      <c r="J212" s="1186"/>
      <c r="K212" s="1186"/>
      <c r="L212" s="1186"/>
      <c r="M212" s="1186"/>
      <c r="N212" s="1186"/>
      <c r="O212" s="1186"/>
      <c r="P212" s="1186"/>
      <c r="Q212" s="1186"/>
      <c r="R212" s="1186"/>
      <c r="S212" s="1186"/>
      <c r="T212" s="1186"/>
      <c r="U212" s="1186"/>
      <c r="V212" s="1186"/>
      <c r="W212" s="1186"/>
      <c r="X212" s="1186"/>
      <c r="Y212" s="1186"/>
      <c r="Z212" s="1186"/>
      <c r="AA212" s="1186">
        <v>46.2</v>
      </c>
      <c r="AB212" s="1186">
        <v>5.8</v>
      </c>
      <c r="AC212" s="1186">
        <v>42.5</v>
      </c>
      <c r="AD212" s="1187">
        <v>3.7</v>
      </c>
      <c r="AH212" s="251">
        <v>173</v>
      </c>
      <c r="AI212" s="251" t="e">
        <f t="shared" si="28"/>
        <v>#N/A</v>
      </c>
      <c r="AJ212" s="251" t="e">
        <f t="shared" ca="1" si="26"/>
        <v>#N/A</v>
      </c>
      <c r="AL212" s="251">
        <f t="shared" ca="1" si="27"/>
        <v>2008</v>
      </c>
      <c r="AM212" s="251" t="e">
        <f t="shared" ca="1" si="32"/>
        <v>#N/A</v>
      </c>
      <c r="AN212" s="251" t="e">
        <f t="shared" ca="1" si="29"/>
        <v>#N/A</v>
      </c>
      <c r="AO212" s="251" t="e">
        <f t="shared" ca="1" si="30"/>
        <v>#N/A</v>
      </c>
    </row>
    <row r="213" spans="1:41" x14ac:dyDescent="0.2">
      <c r="A213">
        <f t="shared" si="31"/>
        <v>7</v>
      </c>
      <c r="B213">
        <v>204</v>
      </c>
      <c r="C213" s="1081">
        <v>4</v>
      </c>
      <c r="D213" s="1082" t="s">
        <v>3599</v>
      </c>
      <c r="E213" s="1082" t="s">
        <v>4135</v>
      </c>
      <c r="F213" s="1188">
        <v>1</v>
      </c>
      <c r="G213" s="1189"/>
      <c r="H213" s="1189"/>
      <c r="I213" s="1189"/>
      <c r="J213" s="1189"/>
      <c r="K213" s="1189"/>
      <c r="L213" s="1189"/>
      <c r="M213" s="1189"/>
      <c r="N213" s="1189"/>
      <c r="O213" s="1189"/>
      <c r="P213" s="1189"/>
      <c r="Q213" s="1189"/>
      <c r="R213" s="1189"/>
      <c r="S213" s="1189"/>
      <c r="T213" s="1189"/>
      <c r="U213" s="1189"/>
      <c r="V213" s="1189"/>
      <c r="W213" s="1189"/>
      <c r="X213" s="1189"/>
      <c r="Y213" s="1189"/>
      <c r="Z213" s="1189"/>
      <c r="AA213" s="1189">
        <v>47.6</v>
      </c>
      <c r="AB213" s="1189">
        <v>5.7</v>
      </c>
      <c r="AC213" s="1189">
        <v>41</v>
      </c>
      <c r="AD213" s="1194">
        <v>3.2</v>
      </c>
      <c r="AH213" s="251">
        <v>174</v>
      </c>
      <c r="AI213" s="251" t="e">
        <f t="shared" si="28"/>
        <v>#N/A</v>
      </c>
      <c r="AJ213" s="251" t="e">
        <f t="shared" ca="1" si="26"/>
        <v>#N/A</v>
      </c>
      <c r="AL213" s="251">
        <f t="shared" ca="1" si="27"/>
        <v>2009</v>
      </c>
      <c r="AM213" s="251" t="e">
        <f t="shared" ca="1" si="32"/>
        <v>#N/A</v>
      </c>
      <c r="AN213" s="251" t="e">
        <f t="shared" ca="1" si="29"/>
        <v>#N/A</v>
      </c>
      <c r="AO213" s="251" t="e">
        <f t="shared" ca="1" si="30"/>
        <v>#N/A</v>
      </c>
    </row>
    <row r="214" spans="1:41" x14ac:dyDescent="0.2">
      <c r="A214">
        <f t="shared" si="31"/>
        <v>7</v>
      </c>
      <c r="B214">
        <v>205</v>
      </c>
      <c r="C214" s="1190">
        <v>4</v>
      </c>
      <c r="D214" s="1191" t="s">
        <v>3599</v>
      </c>
      <c r="E214" s="1191" t="s">
        <v>4136</v>
      </c>
      <c r="F214" s="1192">
        <v>2</v>
      </c>
      <c r="G214" s="1193"/>
      <c r="H214" s="1193"/>
      <c r="I214" s="1193"/>
      <c r="J214" s="1193"/>
      <c r="K214" s="1193"/>
      <c r="L214" s="1193"/>
      <c r="M214" s="1193"/>
      <c r="N214" s="1193"/>
      <c r="O214" s="1193"/>
      <c r="P214" s="1193"/>
      <c r="Q214" s="1193"/>
      <c r="R214" s="1193"/>
      <c r="S214" s="1193"/>
      <c r="T214" s="1193"/>
      <c r="U214" s="1193"/>
      <c r="V214" s="1193"/>
      <c r="W214" s="1193"/>
      <c r="X214" s="1193"/>
      <c r="Y214" s="1193"/>
      <c r="Z214" s="1193"/>
      <c r="AA214" s="1193">
        <v>68.900000000000006</v>
      </c>
      <c r="AB214" s="1193">
        <v>6.2</v>
      </c>
      <c r="AC214" s="1193">
        <v>59.9</v>
      </c>
      <c r="AD214" s="1195">
        <v>3.7</v>
      </c>
      <c r="AH214" s="251">
        <v>175</v>
      </c>
      <c r="AI214" s="251" t="e">
        <f t="shared" si="28"/>
        <v>#N/A</v>
      </c>
      <c r="AJ214" s="251" t="e">
        <f t="shared" ca="1" si="26"/>
        <v>#N/A</v>
      </c>
      <c r="AL214" s="251">
        <f t="shared" ca="1" si="27"/>
        <v>2010</v>
      </c>
      <c r="AM214" s="251" t="e">
        <f t="shared" ca="1" si="32"/>
        <v>#N/A</v>
      </c>
      <c r="AN214" s="251" t="e">
        <f t="shared" ca="1" si="29"/>
        <v>#N/A</v>
      </c>
      <c r="AO214" s="251" t="e">
        <f t="shared" ca="1" si="30"/>
        <v>#N/A</v>
      </c>
    </row>
    <row r="215" spans="1:41" x14ac:dyDescent="0.2">
      <c r="A215">
        <f t="shared" si="31"/>
        <v>7</v>
      </c>
      <c r="B215">
        <v>206</v>
      </c>
      <c r="C215" s="1078">
        <v>4</v>
      </c>
      <c r="D215" s="1077" t="s">
        <v>3599</v>
      </c>
      <c r="E215" s="1077" t="s">
        <v>4137</v>
      </c>
      <c r="F215" s="1185">
        <v>2</v>
      </c>
      <c r="G215" s="1186"/>
      <c r="H215" s="1186"/>
      <c r="I215" s="1186"/>
      <c r="J215" s="1186"/>
      <c r="K215" s="1186"/>
      <c r="L215" s="1186"/>
      <c r="M215" s="1186"/>
      <c r="N215" s="1186"/>
      <c r="O215" s="1186"/>
      <c r="P215" s="1186"/>
      <c r="Q215" s="1186"/>
      <c r="R215" s="1186"/>
      <c r="S215" s="1186"/>
      <c r="T215" s="1186"/>
      <c r="U215" s="1186"/>
      <c r="V215" s="1186"/>
      <c r="W215" s="1186"/>
      <c r="X215" s="1186"/>
      <c r="Y215" s="1186"/>
      <c r="Z215" s="1186"/>
      <c r="AA215" s="1186">
        <v>98.9</v>
      </c>
      <c r="AB215" s="1186">
        <v>5.9</v>
      </c>
      <c r="AC215" s="1186">
        <v>89.9</v>
      </c>
      <c r="AD215" s="1187">
        <v>3.7</v>
      </c>
      <c r="AH215" s="251">
        <v>176</v>
      </c>
      <c r="AI215" s="251" t="e">
        <f t="shared" si="28"/>
        <v>#N/A</v>
      </c>
      <c r="AJ215" s="251" t="e">
        <f t="shared" ca="1" si="26"/>
        <v>#N/A</v>
      </c>
      <c r="AL215" s="251">
        <f t="shared" ca="1" si="27"/>
        <v>2011</v>
      </c>
      <c r="AM215" s="251" t="e">
        <f t="shared" ca="1" si="32"/>
        <v>#N/A</v>
      </c>
      <c r="AN215" s="251" t="e">
        <f t="shared" ca="1" si="29"/>
        <v>#N/A</v>
      </c>
      <c r="AO215" s="251" t="e">
        <f t="shared" ca="1" si="30"/>
        <v>#N/A</v>
      </c>
    </row>
    <row r="216" spans="1:41" x14ac:dyDescent="0.2">
      <c r="A216">
        <f t="shared" si="31"/>
        <v>7</v>
      </c>
      <c r="B216">
        <v>207</v>
      </c>
      <c r="C216" s="1078">
        <v>2</v>
      </c>
      <c r="D216" s="1077" t="s">
        <v>3599</v>
      </c>
      <c r="E216" s="1077" t="s">
        <v>4849</v>
      </c>
      <c r="F216" s="1185">
        <v>4</v>
      </c>
      <c r="G216" s="1186">
        <v>3.7</v>
      </c>
      <c r="H216" s="1186">
        <v>2.5</v>
      </c>
      <c r="I216" s="1186">
        <v>4.7</v>
      </c>
      <c r="J216" s="1186">
        <v>2.8</v>
      </c>
      <c r="K216" s="1186">
        <v>2.7</v>
      </c>
      <c r="L216" s="1186">
        <v>4</v>
      </c>
      <c r="M216" s="1186">
        <v>2.1</v>
      </c>
      <c r="N216" s="1186">
        <v>4.7</v>
      </c>
      <c r="O216" s="1186">
        <v>2.5</v>
      </c>
      <c r="P216" s="1186">
        <v>5.4</v>
      </c>
      <c r="Q216" s="1186">
        <v>4.5</v>
      </c>
      <c r="R216" s="1186">
        <v>1.9</v>
      </c>
      <c r="S216" s="1186">
        <v>2</v>
      </c>
      <c r="T216" s="1186">
        <v>3.1</v>
      </c>
      <c r="U216" s="1186">
        <v>2.2999999999999998</v>
      </c>
      <c r="V216" s="1186">
        <v>3.6</v>
      </c>
      <c r="W216" s="1186"/>
      <c r="X216" s="1186"/>
      <c r="Y216" s="1186"/>
      <c r="Z216" s="1186"/>
      <c r="AA216" s="1186"/>
      <c r="AB216" s="1186"/>
      <c r="AC216" s="1186"/>
      <c r="AD216" s="1187"/>
      <c r="AH216" s="251">
        <v>177</v>
      </c>
      <c r="AI216" s="251" t="e">
        <f t="shared" si="28"/>
        <v>#N/A</v>
      </c>
      <c r="AJ216" s="251" t="e">
        <f t="shared" ca="1" si="26"/>
        <v>#N/A</v>
      </c>
      <c r="AL216" s="251">
        <f t="shared" ca="1" si="27"/>
        <v>2012</v>
      </c>
      <c r="AM216" s="251" t="e">
        <f t="shared" ca="1" si="32"/>
        <v>#N/A</v>
      </c>
      <c r="AN216" s="251" t="e">
        <f t="shared" ca="1" si="29"/>
        <v>#N/A</v>
      </c>
      <c r="AO216" s="251" t="e">
        <f t="shared" ca="1" si="30"/>
        <v>#N/A</v>
      </c>
    </row>
    <row r="217" spans="1:41" x14ac:dyDescent="0.2">
      <c r="A217">
        <f t="shared" si="31"/>
        <v>7</v>
      </c>
      <c r="B217">
        <v>208</v>
      </c>
      <c r="C217" s="1081">
        <v>2</v>
      </c>
      <c r="D217" s="1082" t="s">
        <v>3599</v>
      </c>
      <c r="E217" s="1082" t="s">
        <v>4856</v>
      </c>
      <c r="F217" s="1188">
        <v>4</v>
      </c>
      <c r="G217" s="1189">
        <v>3.7</v>
      </c>
      <c r="H217" s="1189">
        <v>2.5</v>
      </c>
      <c r="I217" s="1189">
        <v>4.7</v>
      </c>
      <c r="J217" s="1189">
        <v>2.8</v>
      </c>
      <c r="K217" s="1189">
        <v>2.7</v>
      </c>
      <c r="L217" s="1189">
        <v>4</v>
      </c>
      <c r="M217" s="1189">
        <v>2.1</v>
      </c>
      <c r="N217" s="1189">
        <v>4.7</v>
      </c>
      <c r="O217" s="1189">
        <v>2.5</v>
      </c>
      <c r="P217" s="1189">
        <v>5.4</v>
      </c>
      <c r="Q217" s="1189">
        <v>4.5</v>
      </c>
      <c r="R217" s="1189">
        <v>1.9</v>
      </c>
      <c r="S217" s="1189">
        <v>2</v>
      </c>
      <c r="T217" s="1189">
        <v>3.1</v>
      </c>
      <c r="U217" s="1189">
        <v>2.2999999999999998</v>
      </c>
      <c r="V217" s="1189">
        <v>3.6</v>
      </c>
      <c r="W217" s="1189"/>
      <c r="X217" s="1189"/>
      <c r="Y217" s="1189"/>
      <c r="Z217" s="1189"/>
      <c r="AA217" s="1189"/>
      <c r="AB217" s="1189"/>
      <c r="AC217" s="1189"/>
      <c r="AD217" s="1194"/>
      <c r="AH217" s="251">
        <v>178</v>
      </c>
      <c r="AI217" s="251" t="e">
        <f t="shared" si="28"/>
        <v>#N/A</v>
      </c>
      <c r="AJ217" s="251" t="e">
        <f t="shared" ca="1" si="26"/>
        <v>#N/A</v>
      </c>
      <c r="AL217" s="251">
        <f t="shared" ca="1" si="27"/>
        <v>2013</v>
      </c>
      <c r="AM217" s="251" t="e">
        <f t="shared" ca="1" si="32"/>
        <v>#N/A</v>
      </c>
      <c r="AN217" s="251" t="e">
        <f t="shared" ca="1" si="29"/>
        <v>#N/A</v>
      </c>
      <c r="AO217" s="251" t="e">
        <f t="shared" ca="1" si="30"/>
        <v>#N/A</v>
      </c>
    </row>
    <row r="218" spans="1:41" x14ac:dyDescent="0.2">
      <c r="A218">
        <f t="shared" si="31"/>
        <v>7</v>
      </c>
      <c r="B218">
        <v>209</v>
      </c>
      <c r="C218" s="1190">
        <v>2</v>
      </c>
      <c r="D218" s="1191" t="s">
        <v>3599</v>
      </c>
      <c r="E218" s="1191" t="s">
        <v>4854</v>
      </c>
      <c r="F218" s="1192">
        <v>4</v>
      </c>
      <c r="G218" s="1193">
        <v>4.0999999999999996</v>
      </c>
      <c r="H218" s="1193">
        <v>2.4</v>
      </c>
      <c r="I218" s="1193">
        <v>5</v>
      </c>
      <c r="J218" s="1193">
        <v>2.8</v>
      </c>
      <c r="K218" s="1193">
        <v>2.5</v>
      </c>
      <c r="L218" s="1193">
        <v>4.3</v>
      </c>
      <c r="M218" s="1193">
        <v>2.1</v>
      </c>
      <c r="N218" s="1193">
        <v>4.7</v>
      </c>
      <c r="O218" s="1193">
        <v>2.5</v>
      </c>
      <c r="P218" s="1193">
        <v>5.4</v>
      </c>
      <c r="Q218" s="1193">
        <v>4.7</v>
      </c>
      <c r="R218" s="1193">
        <v>1.9</v>
      </c>
      <c r="S218" s="1193">
        <v>2</v>
      </c>
      <c r="T218" s="1193">
        <v>3.1</v>
      </c>
      <c r="U218" s="1193">
        <v>2.2999999999999998</v>
      </c>
      <c r="V218" s="1193">
        <v>3.6</v>
      </c>
      <c r="W218" s="1193"/>
      <c r="X218" s="1193"/>
      <c r="Y218" s="1193"/>
      <c r="Z218" s="1193"/>
      <c r="AA218" s="1193"/>
      <c r="AB218" s="1193"/>
      <c r="AC218" s="1193"/>
      <c r="AD218" s="1195"/>
      <c r="AH218" s="251">
        <v>179</v>
      </c>
      <c r="AI218" s="251" t="e">
        <f t="shared" si="28"/>
        <v>#N/A</v>
      </c>
      <c r="AJ218" s="251" t="e">
        <f t="shared" ca="1" si="26"/>
        <v>#N/A</v>
      </c>
      <c r="AL218" s="251">
        <f t="shared" ca="1" si="27"/>
        <v>2014</v>
      </c>
      <c r="AM218" s="251" t="e">
        <f t="shared" ca="1" si="32"/>
        <v>#N/A</v>
      </c>
      <c r="AN218" s="251" t="e">
        <f t="shared" ca="1" si="29"/>
        <v>#N/A</v>
      </c>
      <c r="AO218" s="251" t="e">
        <f t="shared" ca="1" si="30"/>
        <v>#N/A</v>
      </c>
    </row>
    <row r="219" spans="1:41" x14ac:dyDescent="0.2">
      <c r="A219">
        <f t="shared" si="31"/>
        <v>7</v>
      </c>
      <c r="B219">
        <v>210</v>
      </c>
      <c r="C219" s="1078">
        <v>2</v>
      </c>
      <c r="D219" s="1077" t="s">
        <v>3599</v>
      </c>
      <c r="E219" s="1077" t="s">
        <v>4850</v>
      </c>
      <c r="F219" s="1185">
        <v>4</v>
      </c>
      <c r="G219" s="1186">
        <v>4.7</v>
      </c>
      <c r="H219" s="1186">
        <v>2.5</v>
      </c>
      <c r="I219" s="1186">
        <v>5.9</v>
      </c>
      <c r="J219" s="1186">
        <v>2.8</v>
      </c>
      <c r="K219" s="1186">
        <v>3.4</v>
      </c>
      <c r="L219" s="1186">
        <v>4.2</v>
      </c>
      <c r="M219" s="1186">
        <v>2.2999999999999998</v>
      </c>
      <c r="N219" s="1186">
        <v>5.3</v>
      </c>
      <c r="O219" s="1186">
        <v>2.6</v>
      </c>
      <c r="P219" s="1186">
        <v>6</v>
      </c>
      <c r="Q219" s="1186">
        <v>5.3</v>
      </c>
      <c r="R219" s="1186">
        <v>1.9</v>
      </c>
      <c r="S219" s="1186">
        <v>1.9</v>
      </c>
      <c r="T219" s="1186">
        <v>3.7</v>
      </c>
      <c r="U219" s="1186">
        <v>2.2000000000000002</v>
      </c>
      <c r="V219" s="1186">
        <v>4.0999999999999996</v>
      </c>
      <c r="W219" s="1186"/>
      <c r="X219" s="1186"/>
      <c r="Y219" s="1186"/>
      <c r="Z219" s="1186"/>
      <c r="AA219" s="1186"/>
      <c r="AB219" s="1186"/>
      <c r="AC219" s="1186"/>
      <c r="AD219" s="1187"/>
      <c r="AH219" s="251">
        <v>180</v>
      </c>
      <c r="AI219" s="251" t="e">
        <f t="shared" si="28"/>
        <v>#N/A</v>
      </c>
      <c r="AJ219" s="251" t="e">
        <f t="shared" ca="1" si="26"/>
        <v>#N/A</v>
      </c>
      <c r="AL219" s="251">
        <f t="shared" ca="1" si="27"/>
        <v>2015</v>
      </c>
      <c r="AM219" s="251" t="e">
        <f t="shared" ca="1" si="32"/>
        <v>#N/A</v>
      </c>
      <c r="AN219" s="251" t="e">
        <f t="shared" ca="1" si="29"/>
        <v>#N/A</v>
      </c>
      <c r="AO219" s="251" t="e">
        <f t="shared" ca="1" si="30"/>
        <v>#N/A</v>
      </c>
    </row>
    <row r="220" spans="1:41" x14ac:dyDescent="0.2">
      <c r="A220">
        <f t="shared" si="31"/>
        <v>7</v>
      </c>
      <c r="B220">
        <v>211</v>
      </c>
      <c r="C220" s="1078">
        <v>2</v>
      </c>
      <c r="D220" s="1077" t="s">
        <v>3599</v>
      </c>
      <c r="E220" s="1077" t="s">
        <v>4857</v>
      </c>
      <c r="F220" s="1185">
        <v>4</v>
      </c>
      <c r="G220" s="1186">
        <v>4.7</v>
      </c>
      <c r="H220" s="1186">
        <v>2.5</v>
      </c>
      <c r="I220" s="1186">
        <v>5.9</v>
      </c>
      <c r="J220" s="1186">
        <v>2.8</v>
      </c>
      <c r="K220" s="1186">
        <v>3.4</v>
      </c>
      <c r="L220" s="1186">
        <v>4.2</v>
      </c>
      <c r="M220" s="1186">
        <v>2.2999999999999998</v>
      </c>
      <c r="N220" s="1186">
        <v>5.3</v>
      </c>
      <c r="O220" s="1186">
        <v>2.6</v>
      </c>
      <c r="P220" s="1186">
        <v>6</v>
      </c>
      <c r="Q220" s="1186">
        <v>5.3</v>
      </c>
      <c r="R220" s="1186">
        <v>1.9</v>
      </c>
      <c r="S220" s="1186">
        <v>1.9</v>
      </c>
      <c r="T220" s="1186">
        <v>3.7</v>
      </c>
      <c r="U220" s="1186">
        <v>2.2000000000000002</v>
      </c>
      <c r="V220" s="1186">
        <v>4.0999999999999996</v>
      </c>
      <c r="W220" s="1186"/>
      <c r="X220" s="1186"/>
      <c r="Y220" s="1186"/>
      <c r="Z220" s="1186"/>
      <c r="AA220" s="1186"/>
      <c r="AB220" s="1186"/>
      <c r="AC220" s="1186"/>
      <c r="AD220" s="1187"/>
      <c r="AH220" s="251">
        <v>181</v>
      </c>
      <c r="AI220" s="251" t="e">
        <f t="shared" si="28"/>
        <v>#N/A</v>
      </c>
      <c r="AJ220" s="251" t="e">
        <f t="shared" ca="1" si="26"/>
        <v>#N/A</v>
      </c>
      <c r="AL220" s="251">
        <f t="shared" ca="1" si="27"/>
        <v>2016</v>
      </c>
      <c r="AM220" s="251" t="e">
        <f t="shared" ca="1" si="32"/>
        <v>#N/A</v>
      </c>
      <c r="AN220" s="251" t="e">
        <f t="shared" ca="1" si="29"/>
        <v>#N/A</v>
      </c>
      <c r="AO220" s="251" t="e">
        <f t="shared" ca="1" si="30"/>
        <v>#N/A</v>
      </c>
    </row>
    <row r="221" spans="1:41" x14ac:dyDescent="0.2">
      <c r="A221">
        <f t="shared" si="31"/>
        <v>7</v>
      </c>
      <c r="B221">
        <v>212</v>
      </c>
      <c r="C221" s="1078">
        <v>2</v>
      </c>
      <c r="D221" s="1077" t="s">
        <v>3599</v>
      </c>
      <c r="E221" s="1077" t="s">
        <v>4855</v>
      </c>
      <c r="F221" s="1185">
        <v>4</v>
      </c>
      <c r="G221" s="1186">
        <v>5.4</v>
      </c>
      <c r="H221" s="1186">
        <v>2.5</v>
      </c>
      <c r="I221" s="1186">
        <v>6.8</v>
      </c>
      <c r="J221" s="1186">
        <v>2.9</v>
      </c>
      <c r="K221" s="1186">
        <v>2.5</v>
      </c>
      <c r="L221" s="1186">
        <v>4.3</v>
      </c>
      <c r="M221" s="1186">
        <v>2.2999999999999998</v>
      </c>
      <c r="N221" s="1186">
        <v>5</v>
      </c>
      <c r="O221" s="1186">
        <v>2.6</v>
      </c>
      <c r="P221" s="1186">
        <v>6</v>
      </c>
      <c r="Q221" s="1186">
        <v>6.1</v>
      </c>
      <c r="R221" s="1186">
        <v>2</v>
      </c>
      <c r="S221" s="1186">
        <v>1.9</v>
      </c>
      <c r="T221" s="1186">
        <v>3.7</v>
      </c>
      <c r="U221" s="1186">
        <v>2.2000000000000002</v>
      </c>
      <c r="V221" s="1186">
        <v>4.0999999999999996</v>
      </c>
      <c r="W221" s="1186"/>
      <c r="X221" s="1186"/>
      <c r="Y221" s="1186"/>
      <c r="Z221" s="1186"/>
      <c r="AA221" s="1186"/>
      <c r="AB221" s="1186"/>
      <c r="AC221" s="1186"/>
      <c r="AD221" s="1187"/>
      <c r="AH221" s="251">
        <v>182</v>
      </c>
      <c r="AI221" s="251" t="e">
        <f t="shared" si="28"/>
        <v>#N/A</v>
      </c>
      <c r="AJ221" s="251" t="e">
        <f t="shared" ca="1" si="26"/>
        <v>#N/A</v>
      </c>
      <c r="AL221" s="251">
        <f t="shared" ca="1" si="27"/>
        <v>2017</v>
      </c>
      <c r="AM221" s="251" t="e">
        <f t="shared" ca="1" si="32"/>
        <v>#N/A</v>
      </c>
      <c r="AN221" s="251" t="e">
        <f t="shared" ca="1" si="29"/>
        <v>#N/A</v>
      </c>
      <c r="AO221" s="251" t="e">
        <f t="shared" ca="1" si="30"/>
        <v>#N/A</v>
      </c>
    </row>
    <row r="222" spans="1:41" x14ac:dyDescent="0.2">
      <c r="A222">
        <f t="shared" si="31"/>
        <v>7</v>
      </c>
      <c r="B222">
        <v>213</v>
      </c>
      <c r="C222" s="1078">
        <v>2</v>
      </c>
      <c r="D222" s="1077" t="s">
        <v>3599</v>
      </c>
      <c r="E222" s="1077" t="s">
        <v>4863</v>
      </c>
      <c r="F222" s="1185">
        <v>4</v>
      </c>
      <c r="G222" s="1186">
        <v>11.03</v>
      </c>
      <c r="H222" s="1186">
        <v>2.4300000000000002</v>
      </c>
      <c r="I222" s="1186">
        <v>12.77</v>
      </c>
      <c r="J222" s="1186">
        <v>2.74</v>
      </c>
      <c r="K222" s="1186">
        <v>13</v>
      </c>
      <c r="L222" s="1186">
        <v>2</v>
      </c>
      <c r="M222" s="1186">
        <v>15.04</v>
      </c>
      <c r="N222" s="1186">
        <v>4.2699999999999996</v>
      </c>
      <c r="O222" s="1186"/>
      <c r="P222" s="1186"/>
      <c r="Q222" s="1186">
        <v>10.86</v>
      </c>
      <c r="R222" s="1186">
        <v>1.8</v>
      </c>
      <c r="S222" s="1186">
        <v>13.46</v>
      </c>
      <c r="T222" s="1186">
        <v>2.36</v>
      </c>
      <c r="U222" s="1186"/>
      <c r="V222" s="1186"/>
      <c r="W222" s="1186"/>
      <c r="X222" s="1186"/>
      <c r="Y222" s="1186"/>
      <c r="Z222" s="1186"/>
      <c r="AA222" s="1186"/>
      <c r="AB222" s="1186"/>
      <c r="AC222" s="1186"/>
      <c r="AD222" s="1187"/>
      <c r="AH222" s="251">
        <v>183</v>
      </c>
      <c r="AI222" s="251" t="e">
        <f t="shared" si="28"/>
        <v>#N/A</v>
      </c>
      <c r="AJ222" s="251" t="e">
        <f t="shared" ca="1" si="26"/>
        <v>#N/A</v>
      </c>
      <c r="AL222" s="251">
        <f t="shared" ca="1" si="27"/>
        <v>2018</v>
      </c>
      <c r="AM222" s="251" t="e">
        <f t="shared" ca="1" si="32"/>
        <v>#N/A</v>
      </c>
      <c r="AN222" s="251" t="e">
        <f t="shared" ca="1" si="29"/>
        <v>#N/A</v>
      </c>
      <c r="AO222" s="251" t="e">
        <f t="shared" ca="1" si="30"/>
        <v>#N/A</v>
      </c>
    </row>
    <row r="223" spans="1:41" x14ac:dyDescent="0.2">
      <c r="A223">
        <f t="shared" si="31"/>
        <v>7</v>
      </c>
      <c r="B223">
        <v>214</v>
      </c>
      <c r="C223" s="1078">
        <v>2</v>
      </c>
      <c r="D223" s="1077" t="s">
        <v>3599</v>
      </c>
      <c r="E223" s="1077" t="s">
        <v>4864</v>
      </c>
      <c r="F223" s="1185">
        <v>4</v>
      </c>
      <c r="G223" s="1186">
        <v>12.06</v>
      </c>
      <c r="H223" s="1186">
        <v>2.2999999999999998</v>
      </c>
      <c r="I223" s="1186">
        <v>13.95</v>
      </c>
      <c r="J223" s="1186">
        <v>2.59</v>
      </c>
      <c r="K223" s="1186">
        <v>14</v>
      </c>
      <c r="L223" s="1186">
        <v>2.1</v>
      </c>
      <c r="M223" s="1186">
        <v>15.98</v>
      </c>
      <c r="N223" s="1186">
        <v>4.1900000000000004</v>
      </c>
      <c r="O223" s="1186"/>
      <c r="P223" s="1186"/>
      <c r="Q223" s="1186">
        <v>11.86</v>
      </c>
      <c r="R223" s="1186">
        <v>1.71</v>
      </c>
      <c r="S223" s="1186">
        <v>14.29</v>
      </c>
      <c r="T223" s="1186">
        <v>2.3199999999999998</v>
      </c>
      <c r="U223" s="1186"/>
      <c r="V223" s="1186"/>
      <c r="W223" s="1186"/>
      <c r="X223" s="1186"/>
      <c r="Y223" s="1186"/>
      <c r="Z223" s="1186"/>
      <c r="AA223" s="1186"/>
      <c r="AB223" s="1186"/>
      <c r="AC223" s="1186"/>
      <c r="AD223" s="1187"/>
      <c r="AH223" s="251">
        <v>184</v>
      </c>
      <c r="AI223" s="251" t="e">
        <f t="shared" si="28"/>
        <v>#N/A</v>
      </c>
      <c r="AJ223" s="251" t="e">
        <f t="shared" ca="1" si="26"/>
        <v>#N/A</v>
      </c>
      <c r="AL223" s="251">
        <f t="shared" ca="1" si="27"/>
        <v>2019</v>
      </c>
      <c r="AM223" s="251" t="e">
        <f t="shared" ca="1" si="32"/>
        <v>#N/A</v>
      </c>
      <c r="AN223" s="251" t="e">
        <f t="shared" ca="1" si="29"/>
        <v>#N/A</v>
      </c>
      <c r="AO223" s="251" t="e">
        <f t="shared" ca="1" si="30"/>
        <v>#N/A</v>
      </c>
    </row>
    <row r="224" spans="1:41" x14ac:dyDescent="0.2">
      <c r="A224">
        <f t="shared" si="31"/>
        <v>7</v>
      </c>
      <c r="B224">
        <v>215</v>
      </c>
      <c r="C224" s="1081">
        <v>2</v>
      </c>
      <c r="D224" s="1082" t="s">
        <v>3599</v>
      </c>
      <c r="E224" s="1082" t="s">
        <v>4865</v>
      </c>
      <c r="F224" s="1188">
        <v>4</v>
      </c>
      <c r="G224" s="1189">
        <v>12.06</v>
      </c>
      <c r="H224" s="1189">
        <v>2.2999999999999998</v>
      </c>
      <c r="I224" s="1189">
        <v>13.95</v>
      </c>
      <c r="J224" s="1189">
        <v>2.59</v>
      </c>
      <c r="K224" s="1189">
        <v>14.5</v>
      </c>
      <c r="L224" s="1189">
        <v>2.4</v>
      </c>
      <c r="M224" s="1189">
        <v>16.88</v>
      </c>
      <c r="N224" s="1189">
        <v>4.1100000000000003</v>
      </c>
      <c r="O224" s="1189"/>
      <c r="P224" s="1189"/>
      <c r="Q224" s="1189">
        <v>11.86</v>
      </c>
      <c r="R224" s="1189">
        <v>1.71</v>
      </c>
      <c r="S224" s="1189">
        <v>15.1</v>
      </c>
      <c r="T224" s="1189">
        <v>2.27</v>
      </c>
      <c r="U224" s="1189"/>
      <c r="V224" s="1189"/>
      <c r="W224" s="1189"/>
      <c r="X224" s="1189"/>
      <c r="Y224" s="1189"/>
      <c r="Z224" s="1189"/>
      <c r="AA224" s="1189"/>
      <c r="AB224" s="1189"/>
      <c r="AC224" s="1189"/>
      <c r="AD224" s="1194"/>
      <c r="AH224" s="251">
        <v>185</v>
      </c>
      <c r="AI224" s="251" t="e">
        <f t="shared" si="28"/>
        <v>#N/A</v>
      </c>
      <c r="AJ224" s="251" t="e">
        <f t="shared" ca="1" si="26"/>
        <v>#N/A</v>
      </c>
      <c r="AL224" s="251">
        <f t="shared" ca="1" si="27"/>
        <v>2020</v>
      </c>
      <c r="AM224" s="251" t="e">
        <f t="shared" ca="1" si="32"/>
        <v>#N/A</v>
      </c>
      <c r="AN224" s="251" t="e">
        <f t="shared" ca="1" si="29"/>
        <v>#N/A</v>
      </c>
      <c r="AO224" s="251" t="e">
        <f t="shared" ca="1" si="30"/>
        <v>#N/A</v>
      </c>
    </row>
    <row r="225" spans="1:41" x14ac:dyDescent="0.2">
      <c r="A225">
        <f t="shared" si="31"/>
        <v>7</v>
      </c>
      <c r="B225">
        <v>216</v>
      </c>
      <c r="C225" s="1190">
        <v>2</v>
      </c>
      <c r="D225" s="1191" t="s">
        <v>3599</v>
      </c>
      <c r="E225" s="1191" t="s">
        <v>4861</v>
      </c>
      <c r="F225" s="1192">
        <v>4</v>
      </c>
      <c r="G225" s="1193">
        <v>5.94</v>
      </c>
      <c r="H225" s="1193">
        <v>2.38</v>
      </c>
      <c r="I225" s="1193">
        <v>6.99</v>
      </c>
      <c r="J225" s="1193">
        <v>2.83</v>
      </c>
      <c r="K225" s="1193">
        <v>7</v>
      </c>
      <c r="L225" s="1193">
        <v>2.5</v>
      </c>
      <c r="M225" s="1193">
        <v>8.61</v>
      </c>
      <c r="N225" s="1193">
        <v>4.24</v>
      </c>
      <c r="O225" s="1193"/>
      <c r="P225" s="1193"/>
      <c r="Q225" s="1193">
        <v>5.83</v>
      </c>
      <c r="R225" s="1193">
        <v>1.7</v>
      </c>
      <c r="S225" s="1193">
        <v>7.62</v>
      </c>
      <c r="T225" s="1193">
        <v>2.2000000000000002</v>
      </c>
      <c r="U225" s="1193"/>
      <c r="V225" s="1193"/>
      <c r="W225" s="1193"/>
      <c r="X225" s="1193"/>
      <c r="Y225" s="1193"/>
      <c r="Z225" s="1193"/>
      <c r="AA225" s="1193"/>
      <c r="AB225" s="1193"/>
      <c r="AC225" s="1193"/>
      <c r="AD225" s="1195"/>
      <c r="AH225" s="251">
        <v>186</v>
      </c>
      <c r="AI225" s="251" t="e">
        <f t="shared" si="28"/>
        <v>#N/A</v>
      </c>
      <c r="AJ225" s="251" t="e">
        <f t="shared" ca="1" si="26"/>
        <v>#N/A</v>
      </c>
      <c r="AL225" s="251">
        <f t="shared" ca="1" si="27"/>
        <v>2021</v>
      </c>
      <c r="AM225" s="251" t="e">
        <f t="shared" ca="1" si="32"/>
        <v>#N/A</v>
      </c>
      <c r="AN225" s="251" t="e">
        <f t="shared" ca="1" si="29"/>
        <v>#N/A</v>
      </c>
      <c r="AO225" s="251" t="e">
        <f t="shared" ca="1" si="30"/>
        <v>#N/A</v>
      </c>
    </row>
    <row r="226" spans="1:41" x14ac:dyDescent="0.2">
      <c r="A226">
        <f t="shared" si="31"/>
        <v>7</v>
      </c>
      <c r="B226">
        <v>217</v>
      </c>
      <c r="C226" s="1078">
        <v>2</v>
      </c>
      <c r="D226" s="1077" t="s">
        <v>3599</v>
      </c>
      <c r="E226" s="1077" t="s">
        <v>4862</v>
      </c>
      <c r="F226" s="1185">
        <v>4</v>
      </c>
      <c r="G226" s="1186">
        <v>6.48</v>
      </c>
      <c r="H226" s="1186">
        <v>2.17</v>
      </c>
      <c r="I226" s="1186">
        <v>7.44</v>
      </c>
      <c r="J226" s="1186">
        <v>2.68</v>
      </c>
      <c r="K226" s="1186">
        <v>7.5</v>
      </c>
      <c r="L226" s="1186">
        <v>2.4</v>
      </c>
      <c r="M226" s="1186">
        <v>8.8699999999999992</v>
      </c>
      <c r="N226" s="1186">
        <v>4.24</v>
      </c>
      <c r="O226" s="1186"/>
      <c r="P226" s="1186"/>
      <c r="Q226" s="1186">
        <v>6.36</v>
      </c>
      <c r="R226" s="1186">
        <v>1.55</v>
      </c>
      <c r="S226" s="1186">
        <v>7.96</v>
      </c>
      <c r="T226" s="1186">
        <v>2.21</v>
      </c>
      <c r="U226" s="1186"/>
      <c r="V226" s="1186"/>
      <c r="W226" s="1186"/>
      <c r="X226" s="1186"/>
      <c r="Y226" s="1186"/>
      <c r="Z226" s="1186"/>
      <c r="AA226" s="1186"/>
      <c r="AB226" s="1186"/>
      <c r="AC226" s="1186"/>
      <c r="AD226" s="1187"/>
      <c r="AH226" s="251">
        <v>187</v>
      </c>
      <c r="AI226" s="251" t="e">
        <f t="shared" si="28"/>
        <v>#N/A</v>
      </c>
      <c r="AJ226" s="251" t="e">
        <f t="shared" ca="1" si="26"/>
        <v>#N/A</v>
      </c>
      <c r="AL226" s="251">
        <f t="shared" ca="1" si="27"/>
        <v>2022</v>
      </c>
      <c r="AM226" s="251" t="e">
        <f t="shared" ca="1" si="32"/>
        <v>#N/A</v>
      </c>
      <c r="AN226" s="251" t="e">
        <f t="shared" ca="1" si="29"/>
        <v>#N/A</v>
      </c>
      <c r="AO226" s="251" t="e">
        <f t="shared" ca="1" si="30"/>
        <v>#N/A</v>
      </c>
    </row>
    <row r="227" spans="1:41" x14ac:dyDescent="0.2">
      <c r="A227">
        <f t="shared" si="31"/>
        <v>7</v>
      </c>
      <c r="B227">
        <v>218</v>
      </c>
      <c r="C227" s="1078">
        <v>3</v>
      </c>
      <c r="D227" s="1077" t="s">
        <v>3599</v>
      </c>
      <c r="E227" s="1077" t="s">
        <v>4870</v>
      </c>
      <c r="F227" s="1185">
        <v>2</v>
      </c>
      <c r="G227" s="1186"/>
      <c r="H227" s="1186"/>
      <c r="I227" s="1186"/>
      <c r="J227" s="1186"/>
      <c r="K227" s="1186"/>
      <c r="L227" s="1186"/>
      <c r="M227" s="1186"/>
      <c r="N227" s="1186"/>
      <c r="O227" s="1186"/>
      <c r="P227" s="1186"/>
      <c r="Q227" s="1186"/>
      <c r="R227" s="1186"/>
      <c r="S227" s="1186"/>
      <c r="T227" s="1186"/>
      <c r="U227" s="1186"/>
      <c r="V227" s="1186"/>
      <c r="W227" s="1186">
        <v>22.9</v>
      </c>
      <c r="X227" s="1186">
        <v>4.57</v>
      </c>
      <c r="Y227" s="1186">
        <v>23.28</v>
      </c>
      <c r="Z227" s="1186">
        <v>3.01</v>
      </c>
      <c r="AA227" s="1186">
        <v>27.93</v>
      </c>
      <c r="AB227" s="1186">
        <v>5.52</v>
      </c>
      <c r="AC227" s="1186">
        <v>28.67</v>
      </c>
      <c r="AD227" s="1187">
        <v>3.69</v>
      </c>
      <c r="AH227" s="251">
        <v>188</v>
      </c>
      <c r="AI227" s="251" t="e">
        <f t="shared" si="28"/>
        <v>#N/A</v>
      </c>
      <c r="AJ227" s="251" t="e">
        <f t="shared" ca="1" si="26"/>
        <v>#N/A</v>
      </c>
      <c r="AL227" s="251">
        <f t="shared" ca="1" si="27"/>
        <v>2023</v>
      </c>
      <c r="AM227" s="251" t="e">
        <f t="shared" ca="1" si="32"/>
        <v>#N/A</v>
      </c>
      <c r="AN227" s="251" t="e">
        <f t="shared" ca="1" si="29"/>
        <v>#N/A</v>
      </c>
      <c r="AO227" s="251" t="e">
        <f t="shared" ca="1" si="30"/>
        <v>#N/A</v>
      </c>
    </row>
    <row r="228" spans="1:41" x14ac:dyDescent="0.2">
      <c r="A228">
        <f t="shared" si="31"/>
        <v>7</v>
      </c>
      <c r="B228">
        <v>219</v>
      </c>
      <c r="C228" s="1078">
        <v>3</v>
      </c>
      <c r="D228" s="1077" t="s">
        <v>3599</v>
      </c>
      <c r="E228" s="1077" t="s">
        <v>4871</v>
      </c>
      <c r="F228" s="1185">
        <v>2</v>
      </c>
      <c r="G228" s="1186"/>
      <c r="H228" s="1186"/>
      <c r="I228" s="1186"/>
      <c r="J228" s="1186"/>
      <c r="K228" s="1186"/>
      <c r="L228" s="1186"/>
      <c r="M228" s="1186"/>
      <c r="N228" s="1186"/>
      <c r="O228" s="1186"/>
      <c r="P228" s="1186"/>
      <c r="Q228" s="1186"/>
      <c r="R228" s="1186"/>
      <c r="S228" s="1186"/>
      <c r="T228" s="1186"/>
      <c r="U228" s="1186"/>
      <c r="V228" s="1186"/>
      <c r="W228" s="1186">
        <v>29.3</v>
      </c>
      <c r="X228" s="1186">
        <v>4.59</v>
      </c>
      <c r="Y228" s="1186">
        <v>29.32</v>
      </c>
      <c r="Z228" s="1186">
        <v>3.04</v>
      </c>
      <c r="AA228" s="1186">
        <v>35.74</v>
      </c>
      <c r="AB228" s="1186">
        <v>5.52</v>
      </c>
      <c r="AC228" s="1186">
        <v>36.19</v>
      </c>
      <c r="AD228" s="1187">
        <v>3.69</v>
      </c>
      <c r="AH228" s="251">
        <v>189</v>
      </c>
      <c r="AI228" s="251" t="e">
        <f t="shared" si="28"/>
        <v>#N/A</v>
      </c>
      <c r="AJ228" s="251" t="e">
        <f t="shared" ca="1" si="26"/>
        <v>#N/A</v>
      </c>
      <c r="AL228" s="251">
        <f t="shared" ca="1" si="27"/>
        <v>2024</v>
      </c>
      <c r="AM228" s="251" t="e">
        <f t="shared" ca="1" si="32"/>
        <v>#N/A</v>
      </c>
      <c r="AN228" s="251" t="e">
        <f t="shared" ca="1" si="29"/>
        <v>#N/A</v>
      </c>
      <c r="AO228" s="251" t="e">
        <f t="shared" ca="1" si="30"/>
        <v>#N/A</v>
      </c>
    </row>
    <row r="229" spans="1:41" x14ac:dyDescent="0.2">
      <c r="A229">
        <f t="shared" si="31"/>
        <v>7</v>
      </c>
      <c r="B229">
        <v>220</v>
      </c>
      <c r="C229" s="1078">
        <v>3</v>
      </c>
      <c r="D229" s="1077" t="s">
        <v>3599</v>
      </c>
      <c r="E229" s="1077" t="s">
        <v>4872</v>
      </c>
      <c r="F229" s="1185">
        <v>2</v>
      </c>
      <c r="G229" s="1186"/>
      <c r="H229" s="1186"/>
      <c r="I229" s="1186"/>
      <c r="J229" s="1186"/>
      <c r="K229" s="1186"/>
      <c r="L229" s="1186"/>
      <c r="M229" s="1186"/>
      <c r="N229" s="1186"/>
      <c r="O229" s="1186"/>
      <c r="P229" s="1186"/>
      <c r="Q229" s="1186"/>
      <c r="R229" s="1186"/>
      <c r="S229" s="1186"/>
      <c r="T229" s="1186"/>
      <c r="U229" s="1186"/>
      <c r="V229" s="1186"/>
      <c r="W229" s="1186">
        <v>38.700000000000003</v>
      </c>
      <c r="X229" s="1186">
        <v>4.4000000000000004</v>
      </c>
      <c r="Y229" s="1186">
        <v>28.71</v>
      </c>
      <c r="Z229" s="1186">
        <v>3.03</v>
      </c>
      <c r="AA229" s="1186">
        <v>47.21</v>
      </c>
      <c r="AB229" s="1186">
        <v>5.41</v>
      </c>
      <c r="AC229" s="1186">
        <v>48.59</v>
      </c>
      <c r="AD229" s="1187">
        <v>3.72</v>
      </c>
      <c r="AH229" s="251">
        <v>190</v>
      </c>
      <c r="AI229" s="251" t="e">
        <f t="shared" si="28"/>
        <v>#N/A</v>
      </c>
      <c r="AJ229" s="251" t="e">
        <f t="shared" ca="1" si="26"/>
        <v>#N/A</v>
      </c>
      <c r="AL229" s="251">
        <f t="shared" ca="1" si="27"/>
        <v>2025</v>
      </c>
      <c r="AM229" s="251" t="e">
        <f t="shared" ca="1" si="32"/>
        <v>#N/A</v>
      </c>
      <c r="AN229" s="251" t="e">
        <f t="shared" ca="1" si="29"/>
        <v>#N/A</v>
      </c>
      <c r="AO229" s="251" t="e">
        <f t="shared" ca="1" si="30"/>
        <v>#N/A</v>
      </c>
    </row>
    <row r="230" spans="1:41" x14ac:dyDescent="0.2">
      <c r="A230">
        <f t="shared" si="31"/>
        <v>7</v>
      </c>
      <c r="B230">
        <v>221</v>
      </c>
      <c r="C230" s="1078">
        <v>3</v>
      </c>
      <c r="D230" s="1077" t="s">
        <v>3599</v>
      </c>
      <c r="E230" s="1077" t="s">
        <v>4873</v>
      </c>
      <c r="F230" s="1185">
        <v>2</v>
      </c>
      <c r="G230" s="1186"/>
      <c r="H230" s="1186"/>
      <c r="I230" s="1186"/>
      <c r="J230" s="1186"/>
      <c r="K230" s="1186"/>
      <c r="L230" s="1186"/>
      <c r="M230" s="1186"/>
      <c r="N230" s="1186"/>
      <c r="O230" s="1186"/>
      <c r="P230" s="1186"/>
      <c r="Q230" s="1186"/>
      <c r="R230" s="1186"/>
      <c r="S230" s="1186"/>
      <c r="T230" s="1186"/>
      <c r="U230" s="1186"/>
      <c r="V230" s="1186"/>
      <c r="W230" s="1186">
        <v>47.32</v>
      </c>
      <c r="X230" s="1186">
        <v>4.33</v>
      </c>
      <c r="Y230" s="1186">
        <v>47.69</v>
      </c>
      <c r="Z230" s="1186">
        <v>3.07</v>
      </c>
      <c r="AA230" s="1186">
        <v>57.82</v>
      </c>
      <c r="AB230" s="1186">
        <v>5.27</v>
      </c>
      <c r="AC230" s="1186">
        <v>59.75</v>
      </c>
      <c r="AD230" s="1187">
        <v>3.73</v>
      </c>
      <c r="AH230" s="251">
        <v>191</v>
      </c>
      <c r="AI230" s="251" t="e">
        <f t="shared" si="28"/>
        <v>#N/A</v>
      </c>
      <c r="AJ230" s="251" t="e">
        <f t="shared" ca="1" si="26"/>
        <v>#N/A</v>
      </c>
      <c r="AL230" s="251">
        <f t="shared" ca="1" si="27"/>
        <v>2026</v>
      </c>
      <c r="AM230" s="251" t="e">
        <f t="shared" ca="1" si="32"/>
        <v>#N/A</v>
      </c>
      <c r="AN230" s="251" t="e">
        <f t="shared" ca="1" si="29"/>
        <v>#N/A</v>
      </c>
      <c r="AO230" s="251" t="e">
        <f t="shared" ca="1" si="30"/>
        <v>#N/A</v>
      </c>
    </row>
    <row r="231" spans="1:41" x14ac:dyDescent="0.2">
      <c r="A231">
        <f t="shared" si="31"/>
        <v>7</v>
      </c>
      <c r="B231">
        <v>222</v>
      </c>
      <c r="C231" s="1078">
        <v>3</v>
      </c>
      <c r="D231" s="1077" t="s">
        <v>3599</v>
      </c>
      <c r="E231" s="1077" t="s">
        <v>4874</v>
      </c>
      <c r="F231" s="1185">
        <v>2</v>
      </c>
      <c r="G231" s="1186"/>
      <c r="H231" s="1186"/>
      <c r="I231" s="1186"/>
      <c r="J231" s="1186"/>
      <c r="K231" s="1186"/>
      <c r="L231" s="1186"/>
      <c r="M231" s="1186"/>
      <c r="N231" s="1186"/>
      <c r="O231" s="1186"/>
      <c r="P231" s="1186"/>
      <c r="Q231" s="1186"/>
      <c r="R231" s="1186"/>
      <c r="S231" s="1186"/>
      <c r="T231" s="1186"/>
      <c r="U231" s="1186"/>
      <c r="V231" s="1186"/>
      <c r="W231" s="1186">
        <v>54.17</v>
      </c>
      <c r="X231" s="1186">
        <v>4.53</v>
      </c>
      <c r="Y231" s="1186">
        <v>57.33</v>
      </c>
      <c r="Z231" s="1186">
        <v>3.12</v>
      </c>
      <c r="AA231" s="1186">
        <v>69.08</v>
      </c>
      <c r="AB231" s="1186">
        <v>5.66</v>
      </c>
      <c r="AC231" s="1186">
        <v>66.14</v>
      </c>
      <c r="AD231" s="1187">
        <v>3.63</v>
      </c>
      <c r="AH231" s="251">
        <v>192</v>
      </c>
      <c r="AI231" s="251" t="e">
        <f t="shared" si="28"/>
        <v>#N/A</v>
      </c>
      <c r="AJ231" s="251" t="e">
        <f t="shared" ca="1" si="26"/>
        <v>#N/A</v>
      </c>
      <c r="AL231" s="251">
        <f t="shared" ca="1" si="27"/>
        <v>2027</v>
      </c>
      <c r="AM231" s="251" t="e">
        <f t="shared" ca="1" si="32"/>
        <v>#N/A</v>
      </c>
      <c r="AN231" s="251" t="e">
        <f t="shared" ca="1" si="29"/>
        <v>#N/A</v>
      </c>
      <c r="AO231" s="251" t="e">
        <f t="shared" ca="1" si="30"/>
        <v>#N/A</v>
      </c>
    </row>
    <row r="232" spans="1:41" x14ac:dyDescent="0.2">
      <c r="A232">
        <f t="shared" si="31"/>
        <v>7</v>
      </c>
      <c r="B232">
        <v>223</v>
      </c>
      <c r="C232" s="1078">
        <v>3</v>
      </c>
      <c r="D232" s="1077" t="s">
        <v>3599</v>
      </c>
      <c r="E232" s="1077" t="s">
        <v>4875</v>
      </c>
      <c r="F232" s="1185">
        <v>2</v>
      </c>
      <c r="G232" s="1186"/>
      <c r="H232" s="1186"/>
      <c r="I232" s="1186"/>
      <c r="J232" s="1186"/>
      <c r="K232" s="1186"/>
      <c r="L232" s="1186"/>
      <c r="M232" s="1186"/>
      <c r="N232" s="1186"/>
      <c r="O232" s="1186"/>
      <c r="P232" s="1186"/>
      <c r="Q232" s="1186"/>
      <c r="R232" s="1186"/>
      <c r="S232" s="1186"/>
      <c r="T232" s="1186"/>
      <c r="U232" s="1186"/>
      <c r="V232" s="1186"/>
      <c r="W232" s="1186">
        <v>63.93</v>
      </c>
      <c r="X232" s="1186">
        <v>4.42</v>
      </c>
      <c r="Y232" s="1186">
        <v>64.680000000000007</v>
      </c>
      <c r="Z232" s="1186">
        <v>2.97</v>
      </c>
      <c r="AA232" s="1186">
        <v>80.400000000000006</v>
      </c>
      <c r="AB232" s="1186">
        <v>5.52</v>
      </c>
      <c r="AC232" s="1186">
        <v>80.66</v>
      </c>
      <c r="AD232" s="1187">
        <v>3.68</v>
      </c>
      <c r="AH232" s="251">
        <v>193</v>
      </c>
      <c r="AI232" s="251" t="e">
        <f t="shared" ref="AI232:AI239" si="33">MATCH(AH232,$A$10:$A$2000,0)</f>
        <v>#N/A</v>
      </c>
      <c r="AJ232" s="251" t="e">
        <f t="shared" ca="1" si="26"/>
        <v>#N/A</v>
      </c>
      <c r="AL232" s="251">
        <f t="shared" ca="1" si="27"/>
        <v>2028</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x14ac:dyDescent="0.2">
      <c r="A233">
        <f t="shared" si="31"/>
        <v>7</v>
      </c>
      <c r="B233">
        <v>224</v>
      </c>
      <c r="C233" s="1078">
        <v>3</v>
      </c>
      <c r="D233" s="1077" t="s">
        <v>3599</v>
      </c>
      <c r="E233" s="1077" t="s">
        <v>4876</v>
      </c>
      <c r="F233" s="1185">
        <v>2</v>
      </c>
      <c r="G233" s="1186"/>
      <c r="H233" s="1186"/>
      <c r="I233" s="1186"/>
      <c r="J233" s="1186"/>
      <c r="K233" s="1186"/>
      <c r="L233" s="1186"/>
      <c r="M233" s="1186"/>
      <c r="N233" s="1186"/>
      <c r="O233" s="1186"/>
      <c r="P233" s="1186"/>
      <c r="Q233" s="1186"/>
      <c r="R233" s="1186"/>
      <c r="S233" s="1186"/>
      <c r="T233" s="1186"/>
      <c r="U233" s="1186"/>
      <c r="V233" s="1186"/>
      <c r="W233" s="1186">
        <v>72.83</v>
      </c>
      <c r="X233" s="1186">
        <v>4.3899999999999997</v>
      </c>
      <c r="Y233" s="1186">
        <v>73.739999999999995</v>
      </c>
      <c r="Z233" s="1186">
        <v>2.99</v>
      </c>
      <c r="AA233" s="1186">
        <v>91.85</v>
      </c>
      <c r="AB233" s="1186">
        <v>5.47</v>
      </c>
      <c r="AC233" s="1186">
        <v>91.8</v>
      </c>
      <c r="AD233" s="1187">
        <v>3.7</v>
      </c>
      <c r="AH233" s="251">
        <v>194</v>
      </c>
      <c r="AI233" s="251" t="e">
        <f t="shared" si="33"/>
        <v>#N/A</v>
      </c>
      <c r="AJ233" s="251" t="e">
        <f t="shared" ref="AJ233:AJ239" ca="1" si="36">OFFSET($D$9,AI233,0)</f>
        <v>#N/A</v>
      </c>
      <c r="AL233" s="251">
        <f t="shared" ca="1" si="27"/>
        <v>2029</v>
      </c>
      <c r="AM233" s="251" t="e">
        <f t="shared" ca="1" si="32"/>
        <v>#N/A</v>
      </c>
      <c r="AN233" s="251" t="e">
        <f t="shared" ca="1" si="34"/>
        <v>#N/A</v>
      </c>
      <c r="AO233" s="251" t="e">
        <f t="shared" ca="1" si="35"/>
        <v>#N/A</v>
      </c>
    </row>
    <row r="234" spans="1:41" x14ac:dyDescent="0.2">
      <c r="A234">
        <f t="shared" si="31"/>
        <v>7</v>
      </c>
      <c r="B234">
        <v>225</v>
      </c>
      <c r="C234" s="1078">
        <v>3</v>
      </c>
      <c r="D234" s="1077" t="s">
        <v>3599</v>
      </c>
      <c r="E234" s="1077" t="s">
        <v>4877</v>
      </c>
      <c r="F234" s="1185">
        <v>2</v>
      </c>
      <c r="G234" s="1186"/>
      <c r="H234" s="1186"/>
      <c r="I234" s="1186"/>
      <c r="J234" s="1186"/>
      <c r="K234" s="1186"/>
      <c r="L234" s="1186"/>
      <c r="M234" s="1186"/>
      <c r="N234" s="1186"/>
      <c r="O234" s="1186"/>
      <c r="P234" s="1186"/>
      <c r="Q234" s="1186"/>
      <c r="R234" s="1186"/>
      <c r="S234" s="1186"/>
      <c r="T234" s="1186"/>
      <c r="U234" s="1186"/>
      <c r="V234" s="1186"/>
      <c r="W234" s="1186">
        <v>78.16</v>
      </c>
      <c r="X234" s="1186">
        <v>4.3</v>
      </c>
      <c r="Y234" s="1186">
        <v>81.17</v>
      </c>
      <c r="Z234" s="1186">
        <v>3.05</v>
      </c>
      <c r="AA234" s="1186">
        <v>98.39</v>
      </c>
      <c r="AB234" s="1186">
        <v>5.36</v>
      </c>
      <c r="AC234" s="1186">
        <v>101.8</v>
      </c>
      <c r="AD234" s="1187">
        <v>3.8</v>
      </c>
      <c r="AH234" s="251">
        <v>195</v>
      </c>
      <c r="AI234" s="251" t="e">
        <f t="shared" si="33"/>
        <v>#N/A</v>
      </c>
      <c r="AJ234" s="251" t="e">
        <f t="shared" ca="1" si="36"/>
        <v>#N/A</v>
      </c>
      <c r="AL234" s="251">
        <f t="shared" ref="AL234:AL239" ca="1" si="37">AL233+1</f>
        <v>2030</v>
      </c>
      <c r="AM234" s="251" t="e">
        <f t="shared" ca="1" si="32"/>
        <v>#N/A</v>
      </c>
      <c r="AN234" s="251" t="e">
        <f t="shared" ca="1" si="34"/>
        <v>#N/A</v>
      </c>
      <c r="AO234" s="251" t="e">
        <f t="shared" ca="1" si="35"/>
        <v>#N/A</v>
      </c>
    </row>
    <row r="235" spans="1:41" x14ac:dyDescent="0.2">
      <c r="A235">
        <f t="shared" si="31"/>
        <v>7</v>
      </c>
      <c r="B235">
        <v>226</v>
      </c>
      <c r="C235" s="1078">
        <v>2</v>
      </c>
      <c r="D235" s="1077" t="s">
        <v>3599</v>
      </c>
      <c r="E235" s="1077" t="s">
        <v>4851</v>
      </c>
      <c r="F235" s="1185">
        <v>4</v>
      </c>
      <c r="G235" s="1186">
        <v>6.7</v>
      </c>
      <c r="H235" s="1186">
        <v>2.5</v>
      </c>
      <c r="I235" s="1186">
        <v>8.3000000000000007</v>
      </c>
      <c r="J235" s="1186">
        <v>2.8</v>
      </c>
      <c r="K235" s="1186">
        <v>4.4000000000000004</v>
      </c>
      <c r="L235" s="1186">
        <v>4.3</v>
      </c>
      <c r="M235" s="1186">
        <v>3.8</v>
      </c>
      <c r="N235" s="1186">
        <v>5</v>
      </c>
      <c r="O235" s="1186">
        <v>4.4000000000000004</v>
      </c>
      <c r="P235" s="1186">
        <v>5.9</v>
      </c>
      <c r="Q235" s="1186">
        <v>6.9</v>
      </c>
      <c r="R235" s="1186">
        <v>2.1</v>
      </c>
      <c r="S235" s="1186">
        <v>3.2</v>
      </c>
      <c r="T235" s="1186">
        <v>3.2</v>
      </c>
      <c r="U235" s="1186">
        <v>3.8</v>
      </c>
      <c r="V235" s="1186">
        <v>3.8</v>
      </c>
      <c r="W235" s="1186"/>
      <c r="X235" s="1186"/>
      <c r="Y235" s="1186"/>
      <c r="Z235" s="1186"/>
      <c r="AA235" s="1186"/>
      <c r="AB235" s="1186"/>
      <c r="AC235" s="1186"/>
      <c r="AD235" s="1187"/>
      <c r="AH235" s="251">
        <v>196</v>
      </c>
      <c r="AI235" s="251" t="e">
        <f t="shared" si="33"/>
        <v>#N/A</v>
      </c>
      <c r="AJ235" s="251" t="e">
        <f t="shared" ca="1" si="36"/>
        <v>#N/A</v>
      </c>
      <c r="AL235" s="251">
        <f t="shared" ca="1" si="37"/>
        <v>2031</v>
      </c>
      <c r="AM235" s="251" t="e">
        <f t="shared" ca="1" si="32"/>
        <v>#N/A</v>
      </c>
      <c r="AN235" s="251" t="e">
        <f t="shared" ca="1" si="34"/>
        <v>#N/A</v>
      </c>
      <c r="AO235" s="251" t="e">
        <f t="shared" ca="1" si="35"/>
        <v>#N/A</v>
      </c>
    </row>
    <row r="236" spans="1:41" x14ac:dyDescent="0.2">
      <c r="A236">
        <f t="shared" si="31"/>
        <v>7</v>
      </c>
      <c r="B236">
        <v>227</v>
      </c>
      <c r="C236" s="1078">
        <v>2</v>
      </c>
      <c r="D236" s="1077" t="s">
        <v>3599</v>
      </c>
      <c r="E236" s="1077" t="s">
        <v>4858</v>
      </c>
      <c r="F236" s="1185">
        <v>4</v>
      </c>
      <c r="G236" s="1186">
        <v>6.7</v>
      </c>
      <c r="H236" s="1186">
        <v>2.5</v>
      </c>
      <c r="I236" s="1186">
        <v>8.3000000000000007</v>
      </c>
      <c r="J236" s="1186">
        <v>2.8</v>
      </c>
      <c r="K236" s="1186">
        <v>4.4000000000000004</v>
      </c>
      <c r="L236" s="1186">
        <v>4.3</v>
      </c>
      <c r="M236" s="1186">
        <v>3.8</v>
      </c>
      <c r="N236" s="1186">
        <v>5</v>
      </c>
      <c r="O236" s="1186">
        <v>4.4000000000000004</v>
      </c>
      <c r="P236" s="1186">
        <v>5.9</v>
      </c>
      <c r="Q236" s="1186">
        <v>6.9</v>
      </c>
      <c r="R236" s="1186">
        <v>2.1</v>
      </c>
      <c r="S236" s="1186">
        <v>3.2</v>
      </c>
      <c r="T236" s="1186">
        <v>3.2</v>
      </c>
      <c r="U236" s="1186">
        <v>3.8</v>
      </c>
      <c r="V236" s="1186">
        <v>3.8</v>
      </c>
      <c r="W236" s="1186"/>
      <c r="X236" s="1186"/>
      <c r="Y236" s="1186"/>
      <c r="Z236" s="1186"/>
      <c r="AA236" s="1186"/>
      <c r="AB236" s="1186"/>
      <c r="AC236" s="1186"/>
      <c r="AD236" s="1187"/>
      <c r="AH236" s="251">
        <v>197</v>
      </c>
      <c r="AI236" s="251" t="e">
        <f t="shared" si="33"/>
        <v>#N/A</v>
      </c>
      <c r="AJ236" s="251" t="e">
        <f t="shared" ca="1" si="36"/>
        <v>#N/A</v>
      </c>
      <c r="AL236" s="251">
        <f t="shared" ca="1" si="37"/>
        <v>2032</v>
      </c>
      <c r="AM236" s="251" t="e">
        <f t="shared" ca="1" si="32"/>
        <v>#N/A</v>
      </c>
      <c r="AN236" s="251" t="e">
        <f t="shared" ca="1" si="34"/>
        <v>#N/A</v>
      </c>
      <c r="AO236" s="251" t="e">
        <f t="shared" ca="1" si="35"/>
        <v>#N/A</v>
      </c>
    </row>
    <row r="237" spans="1:41" x14ac:dyDescent="0.2">
      <c r="A237">
        <f t="shared" si="31"/>
        <v>7</v>
      </c>
      <c r="B237">
        <v>228</v>
      </c>
      <c r="C237" s="1078">
        <v>2</v>
      </c>
      <c r="D237" s="1077" t="s">
        <v>3599</v>
      </c>
      <c r="E237" s="1077" t="s">
        <v>4852</v>
      </c>
      <c r="F237" s="1185">
        <v>4</v>
      </c>
      <c r="G237" s="1186">
        <v>8.6999999999999993</v>
      </c>
      <c r="H237" s="1186">
        <v>2.4</v>
      </c>
      <c r="I237" s="1186">
        <v>10.7</v>
      </c>
      <c r="J237" s="1186">
        <v>2.7</v>
      </c>
      <c r="K237" s="1186">
        <v>7</v>
      </c>
      <c r="L237" s="1186">
        <v>3.6</v>
      </c>
      <c r="M237" s="1186">
        <v>5.2</v>
      </c>
      <c r="N237" s="1186">
        <v>5</v>
      </c>
      <c r="O237" s="1186">
        <v>6</v>
      </c>
      <c r="P237" s="1186">
        <v>5.8</v>
      </c>
      <c r="Q237" s="1186">
        <v>9.4</v>
      </c>
      <c r="R237" s="1186">
        <v>2</v>
      </c>
      <c r="S237" s="1186">
        <v>4.8</v>
      </c>
      <c r="T237" s="1186">
        <v>3.3</v>
      </c>
      <c r="U237" s="1186">
        <v>5.6</v>
      </c>
      <c r="V237" s="1186">
        <v>3.8</v>
      </c>
      <c r="W237" s="1186"/>
      <c r="X237" s="1186"/>
      <c r="Y237" s="1186"/>
      <c r="Z237" s="1186"/>
      <c r="AA237" s="1186"/>
      <c r="AB237" s="1186"/>
      <c r="AC237" s="1186"/>
      <c r="AD237" s="1187"/>
      <c r="AH237" s="251">
        <v>198</v>
      </c>
      <c r="AI237" s="251" t="e">
        <f t="shared" si="33"/>
        <v>#N/A</v>
      </c>
      <c r="AJ237" s="251" t="e">
        <f t="shared" ca="1" si="36"/>
        <v>#N/A</v>
      </c>
      <c r="AL237" s="251">
        <f t="shared" ca="1" si="37"/>
        <v>2033</v>
      </c>
      <c r="AM237" s="251" t="e">
        <f t="shared" ca="1" si="32"/>
        <v>#N/A</v>
      </c>
      <c r="AN237" s="251" t="e">
        <f t="shared" ca="1" si="34"/>
        <v>#N/A</v>
      </c>
      <c r="AO237" s="251" t="e">
        <f t="shared" ca="1" si="35"/>
        <v>#N/A</v>
      </c>
    </row>
    <row r="238" spans="1:41" x14ac:dyDescent="0.2">
      <c r="A238">
        <f t="shared" si="31"/>
        <v>7</v>
      </c>
      <c r="B238">
        <v>229</v>
      </c>
      <c r="C238" s="1078">
        <v>2</v>
      </c>
      <c r="D238" s="1077" t="s">
        <v>3599</v>
      </c>
      <c r="E238" s="1077" t="s">
        <v>4859</v>
      </c>
      <c r="F238" s="1185">
        <v>4</v>
      </c>
      <c r="G238" s="1186">
        <v>8.6999999999999993</v>
      </c>
      <c r="H238" s="1186">
        <v>2.4</v>
      </c>
      <c r="I238" s="1186">
        <v>10.7</v>
      </c>
      <c r="J238" s="1186">
        <v>2.7</v>
      </c>
      <c r="K238" s="1186">
        <v>7</v>
      </c>
      <c r="L238" s="1186">
        <v>3.6</v>
      </c>
      <c r="M238" s="1186">
        <v>5.2</v>
      </c>
      <c r="N238" s="1186">
        <v>5</v>
      </c>
      <c r="O238" s="1186">
        <v>6</v>
      </c>
      <c r="P238" s="1186">
        <v>5.8</v>
      </c>
      <c r="Q238" s="1186">
        <v>9.4</v>
      </c>
      <c r="R238" s="1186">
        <v>2</v>
      </c>
      <c r="S238" s="1186">
        <v>4.8</v>
      </c>
      <c r="T238" s="1186">
        <v>3.3</v>
      </c>
      <c r="U238" s="1186">
        <v>5.6</v>
      </c>
      <c r="V238" s="1186">
        <v>3.8</v>
      </c>
      <c r="W238" s="1186"/>
      <c r="X238" s="1186"/>
      <c r="Y238" s="1186"/>
      <c r="Z238" s="1186"/>
      <c r="AA238" s="1186"/>
      <c r="AB238" s="1186"/>
      <c r="AC238" s="1186"/>
      <c r="AD238" s="1187"/>
      <c r="AH238" s="251">
        <v>199</v>
      </c>
      <c r="AI238" s="251" t="e">
        <f t="shared" si="33"/>
        <v>#N/A</v>
      </c>
      <c r="AJ238" s="251" t="e">
        <f t="shared" ca="1" si="36"/>
        <v>#N/A</v>
      </c>
      <c r="AL238" s="251">
        <f t="shared" ca="1" si="37"/>
        <v>2034</v>
      </c>
      <c r="AM238" s="251" t="e">
        <f t="shared" ca="1" si="32"/>
        <v>#N/A</v>
      </c>
      <c r="AN238" s="251" t="e">
        <f t="shared" ca="1" si="34"/>
        <v>#N/A</v>
      </c>
      <c r="AO238" s="251" t="e">
        <f t="shared" ca="1" si="35"/>
        <v>#N/A</v>
      </c>
    </row>
    <row r="239" spans="1:41" x14ac:dyDescent="0.2">
      <c r="A239">
        <f t="shared" si="31"/>
        <v>7</v>
      </c>
      <c r="B239">
        <v>230</v>
      </c>
      <c r="C239" s="1078">
        <v>2</v>
      </c>
      <c r="D239" s="1077" t="s">
        <v>3599</v>
      </c>
      <c r="E239" s="1077" t="s">
        <v>4853</v>
      </c>
      <c r="F239" s="1185">
        <v>4</v>
      </c>
      <c r="G239" s="1186">
        <v>10.6</v>
      </c>
      <c r="H239" s="1186">
        <v>2.2999999999999998</v>
      </c>
      <c r="I239" s="1186">
        <v>13</v>
      </c>
      <c r="J239" s="1186">
        <v>2.6</v>
      </c>
      <c r="K239" s="1186">
        <v>7.9</v>
      </c>
      <c r="L239" s="1186">
        <v>4</v>
      </c>
      <c r="M239" s="1186">
        <v>5.6</v>
      </c>
      <c r="N239" s="1186">
        <v>4.9000000000000004</v>
      </c>
      <c r="O239" s="1186">
        <v>6.7</v>
      </c>
      <c r="P239" s="1186">
        <v>5.8</v>
      </c>
      <c r="Q239" s="1186">
        <v>10.4</v>
      </c>
      <c r="R239" s="1186">
        <v>1.9</v>
      </c>
      <c r="S239" s="1186">
        <v>4.5999999999999996</v>
      </c>
      <c r="T239" s="1186">
        <v>3.6</v>
      </c>
      <c r="U239" s="1186">
        <v>5.5</v>
      </c>
      <c r="V239" s="1186">
        <v>4.3</v>
      </c>
      <c r="W239" s="1186"/>
      <c r="X239" s="1186"/>
      <c r="Y239" s="1186"/>
      <c r="Z239" s="1186"/>
      <c r="AA239" s="1186"/>
      <c r="AB239" s="1186"/>
      <c r="AC239" s="1186"/>
      <c r="AD239" s="1187"/>
      <c r="AH239" s="251">
        <v>200</v>
      </c>
      <c r="AI239" s="251" t="e">
        <f t="shared" si="33"/>
        <v>#N/A</v>
      </c>
      <c r="AJ239" s="251" t="e">
        <f t="shared" ca="1" si="36"/>
        <v>#N/A</v>
      </c>
      <c r="AL239" s="251">
        <f t="shared" ca="1" si="37"/>
        <v>2035</v>
      </c>
      <c r="AM239" s="251" t="e">
        <f t="shared" ca="1" si="32"/>
        <v>#N/A</v>
      </c>
      <c r="AN239" s="251" t="e">
        <f t="shared" ca="1" si="34"/>
        <v>#N/A</v>
      </c>
      <c r="AO239" s="251" t="e">
        <f t="shared" ca="1" si="35"/>
        <v>#N/A</v>
      </c>
    </row>
    <row r="240" spans="1:41" x14ac:dyDescent="0.2">
      <c r="A240">
        <f t="shared" si="31"/>
        <v>7</v>
      </c>
      <c r="B240">
        <v>231</v>
      </c>
      <c r="C240" s="1081">
        <v>2</v>
      </c>
      <c r="D240" s="1082" t="s">
        <v>3599</v>
      </c>
      <c r="E240" s="1082" t="s">
        <v>4860</v>
      </c>
      <c r="F240" s="1188">
        <v>4</v>
      </c>
      <c r="G240" s="1189">
        <v>10.6</v>
      </c>
      <c r="H240" s="1189">
        <v>2.2999999999999998</v>
      </c>
      <c r="I240" s="1189">
        <v>13</v>
      </c>
      <c r="J240" s="1189">
        <v>2.6</v>
      </c>
      <c r="K240" s="1189">
        <v>7.9</v>
      </c>
      <c r="L240" s="1189">
        <v>4</v>
      </c>
      <c r="M240" s="1189">
        <v>5.6</v>
      </c>
      <c r="N240" s="1189">
        <v>4.9000000000000004</v>
      </c>
      <c r="O240" s="1189">
        <v>6.7</v>
      </c>
      <c r="P240" s="1189">
        <v>5.8</v>
      </c>
      <c r="Q240" s="1189">
        <v>10.4</v>
      </c>
      <c r="R240" s="1189">
        <v>1.9</v>
      </c>
      <c r="S240" s="1189">
        <v>4.5999999999999996</v>
      </c>
      <c r="T240" s="1189">
        <v>3.6</v>
      </c>
      <c r="U240" s="1189">
        <v>5.5</v>
      </c>
      <c r="V240" s="1189">
        <v>4.3</v>
      </c>
      <c r="W240" s="1189"/>
      <c r="X240" s="1189"/>
      <c r="Y240" s="1189"/>
      <c r="Z240" s="1189"/>
      <c r="AA240" s="1189"/>
      <c r="AB240" s="1189"/>
      <c r="AC240" s="1189"/>
      <c r="AD240" s="1194"/>
    </row>
    <row r="241" spans="1:30" x14ac:dyDescent="0.2">
      <c r="A241">
        <f t="shared" si="31"/>
        <v>7</v>
      </c>
      <c r="B241">
        <v>232</v>
      </c>
      <c r="C241" s="1190">
        <v>3</v>
      </c>
      <c r="D241" s="1191" t="s">
        <v>3599</v>
      </c>
      <c r="E241" s="1191" t="s">
        <v>4866</v>
      </c>
      <c r="F241" s="1192">
        <v>4</v>
      </c>
      <c r="G241" s="1193"/>
      <c r="H241" s="1193"/>
      <c r="I241" s="1193"/>
      <c r="J241" s="1193"/>
      <c r="K241" s="1193"/>
      <c r="L241" s="1193"/>
      <c r="M241" s="1193"/>
      <c r="N241" s="1193"/>
      <c r="O241" s="1193"/>
      <c r="P241" s="1193"/>
      <c r="Q241" s="1193"/>
      <c r="R241" s="1193"/>
      <c r="S241" s="1193"/>
      <c r="T241" s="1193"/>
      <c r="U241" s="1193"/>
      <c r="V241" s="1193"/>
      <c r="W241" s="1193">
        <v>5.9</v>
      </c>
      <c r="X241" s="1193">
        <v>4.5999999999999996</v>
      </c>
      <c r="Y241" s="1193">
        <v>5.2</v>
      </c>
      <c r="Z241" s="1193">
        <v>2.8</v>
      </c>
      <c r="AA241" s="1193">
        <v>7.9</v>
      </c>
      <c r="AB241" s="1193">
        <v>5.8</v>
      </c>
      <c r="AC241" s="1193">
        <v>6.9</v>
      </c>
      <c r="AD241" s="1195">
        <v>3.4</v>
      </c>
    </row>
    <row r="242" spans="1:30" x14ac:dyDescent="0.2">
      <c r="A242">
        <f t="shared" si="31"/>
        <v>7</v>
      </c>
      <c r="B242">
        <v>233</v>
      </c>
      <c r="C242" s="1078">
        <v>3</v>
      </c>
      <c r="D242" s="1077" t="s">
        <v>3599</v>
      </c>
      <c r="E242" s="1077" t="s">
        <v>4867</v>
      </c>
      <c r="F242" s="1185">
        <v>4</v>
      </c>
      <c r="G242" s="1186"/>
      <c r="H242" s="1186"/>
      <c r="I242" s="1186"/>
      <c r="J242" s="1186"/>
      <c r="K242" s="1186"/>
      <c r="L242" s="1186"/>
      <c r="M242" s="1186"/>
      <c r="N242" s="1186"/>
      <c r="O242" s="1186"/>
      <c r="P242" s="1186"/>
      <c r="Q242" s="1186"/>
      <c r="R242" s="1186"/>
      <c r="S242" s="1186"/>
      <c r="T242" s="1186"/>
      <c r="U242" s="1186"/>
      <c r="V242" s="1186"/>
      <c r="W242" s="1186">
        <v>7.6</v>
      </c>
      <c r="X242" s="1186">
        <v>4.5999999999999996</v>
      </c>
      <c r="Y242" s="1186">
        <v>6.7</v>
      </c>
      <c r="Z242" s="1186">
        <v>2.6</v>
      </c>
      <c r="AA242" s="1186">
        <v>10.3</v>
      </c>
      <c r="AB242" s="1186">
        <v>5.0999999999999996</v>
      </c>
      <c r="AC242" s="1186">
        <v>9.1999999999999993</v>
      </c>
      <c r="AD242" s="1187">
        <v>3.2</v>
      </c>
    </row>
    <row r="243" spans="1:30" x14ac:dyDescent="0.2">
      <c r="A243">
        <f t="shared" si="31"/>
        <v>7</v>
      </c>
      <c r="B243">
        <v>234</v>
      </c>
      <c r="C243" s="1078">
        <v>3</v>
      </c>
      <c r="D243" s="1077" t="s">
        <v>3599</v>
      </c>
      <c r="E243" s="1077" t="s">
        <v>4868</v>
      </c>
      <c r="F243" s="1185">
        <v>4</v>
      </c>
      <c r="G243" s="1186"/>
      <c r="H243" s="1186"/>
      <c r="I243" s="1186"/>
      <c r="J243" s="1186"/>
      <c r="K243" s="1186"/>
      <c r="L243" s="1186"/>
      <c r="M243" s="1186"/>
      <c r="N243" s="1186"/>
      <c r="O243" s="1186"/>
      <c r="P243" s="1186"/>
      <c r="Q243" s="1186"/>
      <c r="R243" s="1186"/>
      <c r="S243" s="1186"/>
      <c r="T243" s="1186"/>
      <c r="U243" s="1186"/>
      <c r="V243" s="1186"/>
      <c r="W243" s="1186">
        <v>12.5</v>
      </c>
      <c r="X243" s="1186">
        <v>4.8</v>
      </c>
      <c r="Y243" s="1186">
        <v>11.3</v>
      </c>
      <c r="Z243" s="1186">
        <v>2.6</v>
      </c>
      <c r="AA243" s="1186">
        <v>15.9</v>
      </c>
      <c r="AB243" s="1186">
        <v>4.9000000000000004</v>
      </c>
      <c r="AC243" s="1186">
        <v>14.4</v>
      </c>
      <c r="AD243" s="1187">
        <v>3.2</v>
      </c>
    </row>
    <row r="244" spans="1:30" x14ac:dyDescent="0.2">
      <c r="A244">
        <f t="shared" si="31"/>
        <v>7</v>
      </c>
      <c r="B244">
        <v>235</v>
      </c>
      <c r="C244" s="1078">
        <v>3</v>
      </c>
      <c r="D244" s="1077" t="s">
        <v>3599</v>
      </c>
      <c r="E244" s="1077" t="s">
        <v>4869</v>
      </c>
      <c r="F244" s="1185">
        <v>4</v>
      </c>
      <c r="G244" s="1186"/>
      <c r="H244" s="1186"/>
      <c r="I244" s="1186"/>
      <c r="J244" s="1186"/>
      <c r="K244" s="1186"/>
      <c r="L244" s="1186"/>
      <c r="M244" s="1186"/>
      <c r="N244" s="1186"/>
      <c r="O244" s="1186"/>
      <c r="P244" s="1186"/>
      <c r="Q244" s="1186"/>
      <c r="R244" s="1186"/>
      <c r="S244" s="1186"/>
      <c r="T244" s="1186"/>
      <c r="U244" s="1186"/>
      <c r="V244" s="1186"/>
      <c r="W244" s="1186">
        <v>15.5</v>
      </c>
      <c r="X244" s="1186">
        <v>4.8</v>
      </c>
      <c r="Y244" s="1186">
        <v>14.2</v>
      </c>
      <c r="Z244" s="1186">
        <v>2.6</v>
      </c>
      <c r="AA244" s="1186">
        <v>19.899999999999999</v>
      </c>
      <c r="AB244" s="1186">
        <v>5.8</v>
      </c>
      <c r="AC244" s="1186">
        <v>18</v>
      </c>
      <c r="AD244" s="1187">
        <v>3.2</v>
      </c>
    </row>
    <row r="245" spans="1:30" x14ac:dyDescent="0.2">
      <c r="A245">
        <f t="shared" si="31"/>
        <v>7</v>
      </c>
      <c r="B245">
        <v>236</v>
      </c>
      <c r="C245" s="1078">
        <v>2</v>
      </c>
      <c r="D245" s="1077" t="s">
        <v>3599</v>
      </c>
      <c r="E245" s="1077" t="s">
        <v>5365</v>
      </c>
      <c r="F245" s="1185">
        <v>4</v>
      </c>
      <c r="G245" s="1186">
        <v>3.4572345405357825</v>
      </c>
      <c r="H245" s="1186">
        <v>2.1193312251995673</v>
      </c>
      <c r="I245" s="1186">
        <v>4.5840287858006992</v>
      </c>
      <c r="J245" s="1186">
        <v>2.689297985177737</v>
      </c>
      <c r="K245" s="1186">
        <v>5.98</v>
      </c>
      <c r="L245" s="1186">
        <v>3.72</v>
      </c>
      <c r="M245" s="1186">
        <v>6.1533524417583969</v>
      </c>
      <c r="N245" s="1186">
        <v>4.7464593520002021</v>
      </c>
      <c r="O245" s="1186"/>
      <c r="P245" s="1186"/>
      <c r="Q245" s="1186">
        <v>4.7779990796443119</v>
      </c>
      <c r="R245" s="1186">
        <v>1.564859054420342</v>
      </c>
      <c r="S245" s="1186">
        <v>4.989967288738586</v>
      </c>
      <c r="T245" s="1186">
        <v>2.6414831095650295</v>
      </c>
      <c r="U245" s="1186"/>
      <c r="V245" s="1186">
        <v>7.3034648179671997</v>
      </c>
      <c r="W245" s="1186"/>
      <c r="X245" s="1186"/>
      <c r="Y245" s="1186"/>
      <c r="Z245" s="1186"/>
      <c r="AA245" s="1186"/>
      <c r="AB245" s="1186"/>
      <c r="AC245" s="1186"/>
      <c r="AD245" s="1187"/>
    </row>
    <row r="246" spans="1:30" x14ac:dyDescent="0.2">
      <c r="A246">
        <f t="shared" si="31"/>
        <v>7</v>
      </c>
      <c r="B246">
        <v>237</v>
      </c>
      <c r="C246" s="1078">
        <v>2</v>
      </c>
      <c r="D246" s="1077" t="s">
        <v>3599</v>
      </c>
      <c r="E246" s="1077" t="s">
        <v>5366</v>
      </c>
      <c r="F246" s="1185">
        <v>4</v>
      </c>
      <c r="G246" s="1186">
        <v>4.5228650318680668</v>
      </c>
      <c r="H246" s="1186">
        <v>1.9571487248183588</v>
      </c>
      <c r="I246" s="1186">
        <v>6.22</v>
      </c>
      <c r="J246" s="1186">
        <v>2.6543948271300888</v>
      </c>
      <c r="K246" s="1186">
        <v>7.35</v>
      </c>
      <c r="L246" s="1186">
        <v>3.47</v>
      </c>
      <c r="M246" s="1186">
        <v>8.02</v>
      </c>
      <c r="N246" s="1186">
        <v>4.6988721316945679</v>
      </c>
      <c r="O246" s="1186"/>
      <c r="P246" s="1186"/>
      <c r="Q246" s="1186">
        <v>4.7789999999999999</v>
      </c>
      <c r="R246" s="1186">
        <v>1.5651868693184288</v>
      </c>
      <c r="S246" s="1186">
        <v>6.77</v>
      </c>
      <c r="T246" s="1186">
        <v>2.7019228289739994</v>
      </c>
      <c r="U246" s="1186"/>
      <c r="V246" s="1186">
        <v>9.7377924081010505</v>
      </c>
      <c r="W246" s="1186"/>
      <c r="X246" s="1186"/>
      <c r="Y246" s="1186"/>
      <c r="Z246" s="1186"/>
      <c r="AA246" s="1186"/>
      <c r="AB246" s="1186"/>
      <c r="AC246" s="1186"/>
      <c r="AD246" s="1187"/>
    </row>
    <row r="247" spans="1:30" x14ac:dyDescent="0.2">
      <c r="A247">
        <f t="shared" si="31"/>
        <v>7</v>
      </c>
      <c r="B247">
        <v>238</v>
      </c>
      <c r="C247" s="1078">
        <v>2</v>
      </c>
      <c r="D247" s="1077" t="s">
        <v>3599</v>
      </c>
      <c r="E247" s="1077" t="s">
        <v>5367</v>
      </c>
      <c r="F247" s="1185">
        <v>4</v>
      </c>
      <c r="G247" s="1186">
        <v>7.2886911105766412</v>
      </c>
      <c r="H247" s="1186">
        <v>2.4124238812332242</v>
      </c>
      <c r="I247" s="1186">
        <v>8.6482620000000008</v>
      </c>
      <c r="J247" s="1186">
        <v>2.7145607873192232</v>
      </c>
      <c r="K247" s="1186">
        <v>9.6</v>
      </c>
      <c r="L247" s="1186">
        <v>3.42</v>
      </c>
      <c r="M247" s="1186">
        <v>9.98</v>
      </c>
      <c r="N247" s="1186">
        <v>4.2190792022129946</v>
      </c>
      <c r="O247" s="1186"/>
      <c r="P247" s="1186"/>
      <c r="Q247" s="1186">
        <v>7.8291680625314051</v>
      </c>
      <c r="R247" s="1186">
        <v>1.8794354245290454</v>
      </c>
      <c r="S247" s="1186">
        <v>9.5564629318089374</v>
      </c>
      <c r="T247" s="1186">
        <v>3.1093713753914649</v>
      </c>
      <c r="U247" s="1186"/>
      <c r="V247" s="1186">
        <v>13.507699398837699</v>
      </c>
      <c r="W247" s="1186"/>
      <c r="X247" s="1186"/>
      <c r="Y247" s="1186"/>
      <c r="Z247" s="1186"/>
      <c r="AA247" s="1186"/>
      <c r="AB247" s="1186"/>
      <c r="AC247" s="1186"/>
      <c r="AD247" s="1187"/>
    </row>
    <row r="248" spans="1:30" x14ac:dyDescent="0.2">
      <c r="A248">
        <f t="shared" si="31"/>
        <v>7</v>
      </c>
      <c r="B248">
        <v>239</v>
      </c>
      <c r="C248" s="1078">
        <v>2</v>
      </c>
      <c r="D248" s="1077" t="s">
        <v>3599</v>
      </c>
      <c r="E248" s="1077" t="s">
        <v>5368</v>
      </c>
      <c r="F248" s="1185">
        <v>4</v>
      </c>
      <c r="G248" s="1186">
        <v>8.4994668679900336</v>
      </c>
      <c r="H248" s="1186">
        <v>2.1052322126679499</v>
      </c>
      <c r="I248" s="1186">
        <v>9.814337806559255</v>
      </c>
      <c r="J248" s="1186">
        <v>2.3145681580635502</v>
      </c>
      <c r="K248" s="1186">
        <v>10.9</v>
      </c>
      <c r="L248" s="1186">
        <v>3.28</v>
      </c>
      <c r="M248" s="1186">
        <v>11.409440062248935</v>
      </c>
      <c r="N248" s="1186">
        <v>3.9745179158157877</v>
      </c>
      <c r="O248" s="1186"/>
      <c r="P248" s="1186"/>
      <c r="Q248" s="1186">
        <v>9.1974883604868154</v>
      </c>
      <c r="R248" s="1186">
        <v>1.9901601502959152</v>
      </c>
      <c r="S248" s="1186">
        <v>11.291515092103408</v>
      </c>
      <c r="T248" s="1186">
        <v>2.8902490261667531</v>
      </c>
      <c r="U248" s="1186"/>
      <c r="V248" s="1186">
        <v>15.7478537305647</v>
      </c>
      <c r="W248" s="1186"/>
      <c r="X248" s="1186"/>
      <c r="Y248" s="1186"/>
      <c r="Z248" s="1186"/>
      <c r="AA248" s="1186"/>
      <c r="AB248" s="1186"/>
      <c r="AC248" s="1186"/>
      <c r="AD248" s="1187"/>
    </row>
    <row r="249" spans="1:30" x14ac:dyDescent="0.2">
      <c r="A249">
        <f t="shared" si="31"/>
        <v>7</v>
      </c>
      <c r="B249">
        <v>240</v>
      </c>
      <c r="C249" s="1078">
        <v>2</v>
      </c>
      <c r="D249" s="1077" t="s">
        <v>3599</v>
      </c>
      <c r="E249" s="1077" t="s">
        <v>5369</v>
      </c>
      <c r="F249" s="1185">
        <v>4</v>
      </c>
      <c r="G249" s="1186">
        <v>9.4023846104084701</v>
      </c>
      <c r="H249" s="1186">
        <v>2.1273700844229815</v>
      </c>
      <c r="I249" s="1186">
        <v>10.170000000000002</v>
      </c>
      <c r="J249" s="1186">
        <v>2.1950259788794928</v>
      </c>
      <c r="K249" s="1186">
        <v>12.2</v>
      </c>
      <c r="L249" s="1186">
        <v>3.16</v>
      </c>
      <c r="M249" s="1186">
        <v>14.58</v>
      </c>
      <c r="N249" s="1186">
        <v>4.373704861546913</v>
      </c>
      <c r="O249" s="1186"/>
      <c r="P249" s="1186"/>
      <c r="Q249" s="1186">
        <v>9.3465000000000007</v>
      </c>
      <c r="R249" s="1186">
        <v>1.8332426964757043</v>
      </c>
      <c r="S249" s="1186">
        <v>12.883498141270705</v>
      </c>
      <c r="T249" s="1186">
        <v>2.5527726880248109</v>
      </c>
      <c r="U249" s="1186"/>
      <c r="V249" s="1186">
        <v>17.824816695912901</v>
      </c>
      <c r="W249" s="1186"/>
      <c r="X249" s="1186"/>
      <c r="Y249" s="1186"/>
      <c r="Z249" s="1186"/>
      <c r="AA249" s="1186"/>
      <c r="AB249" s="1186"/>
      <c r="AC249" s="1186"/>
      <c r="AD249" s="1187"/>
    </row>
    <row r="250" spans="1:30" x14ac:dyDescent="0.2">
      <c r="A250">
        <f t="shared" si="31"/>
        <v>7</v>
      </c>
      <c r="B250">
        <v>241</v>
      </c>
      <c r="C250" s="1078">
        <v>2</v>
      </c>
      <c r="D250" s="1077" t="s">
        <v>3599</v>
      </c>
      <c r="E250" s="1077" t="s">
        <v>5370</v>
      </c>
      <c r="F250" s="1185">
        <v>4</v>
      </c>
      <c r="G250" s="1186">
        <v>4.6664820000000002</v>
      </c>
      <c r="H250" s="1186">
        <v>2.3580000000000001</v>
      </c>
      <c r="I250" s="1186">
        <v>5.42</v>
      </c>
      <c r="J250" s="1186">
        <v>2.5099999999999998</v>
      </c>
      <c r="K250" s="1186">
        <v>2.41</v>
      </c>
      <c r="L250" s="1186">
        <v>3.92</v>
      </c>
      <c r="M250" s="1186">
        <v>2.8397779000000001</v>
      </c>
      <c r="N250" s="1186">
        <v>4.8229999999999995</v>
      </c>
      <c r="O250" s="1186">
        <v>2.7965339999999999</v>
      </c>
      <c r="P250" s="1186">
        <v>6.63</v>
      </c>
      <c r="Q250" s="1186">
        <v>4.7817440000000007</v>
      </c>
      <c r="R250" s="1186">
        <v>1.798</v>
      </c>
      <c r="S250" s="1186">
        <v>2.1887999999999996</v>
      </c>
      <c r="T250" s="1186">
        <v>2.2799999999999998</v>
      </c>
      <c r="U250" s="1186">
        <v>2.5984529999999997</v>
      </c>
      <c r="V250" s="1186">
        <v>3.51</v>
      </c>
      <c r="W250" s="1186"/>
      <c r="X250" s="1186"/>
      <c r="Y250" s="1186"/>
      <c r="Z250" s="1186"/>
      <c r="AA250" s="1186"/>
      <c r="AB250" s="1186"/>
      <c r="AC250" s="1186"/>
      <c r="AD250" s="1187"/>
    </row>
    <row r="251" spans="1:30" x14ac:dyDescent="0.2">
      <c r="A251">
        <f t="shared" si="31"/>
        <v>7</v>
      </c>
      <c r="B251">
        <v>242</v>
      </c>
      <c r="C251" s="1078">
        <v>2</v>
      </c>
      <c r="D251" s="1077" t="s">
        <v>3599</v>
      </c>
      <c r="E251" s="1077" t="s">
        <v>5371</v>
      </c>
      <c r="F251" s="1185">
        <v>4</v>
      </c>
      <c r="G251" s="1186">
        <v>5.8264080000000007</v>
      </c>
      <c r="H251" s="1186">
        <v>2.2120000000000002</v>
      </c>
      <c r="I251" s="1186">
        <v>6.71</v>
      </c>
      <c r="J251" s="1186">
        <v>2.36</v>
      </c>
      <c r="K251" s="1186">
        <v>2.87</v>
      </c>
      <c r="L251" s="1186">
        <v>4.0599999999999996</v>
      </c>
      <c r="M251" s="1186">
        <v>2.8397779000000001</v>
      </c>
      <c r="N251" s="1186">
        <v>4.8229999999999995</v>
      </c>
      <c r="O251" s="1186">
        <v>3.5017450000000001</v>
      </c>
      <c r="P251" s="1186">
        <v>6.3380000000000001</v>
      </c>
      <c r="Q251" s="1186">
        <v>5.0279520000000009</v>
      </c>
      <c r="R251" s="1186">
        <v>1.9</v>
      </c>
      <c r="S251" s="1186">
        <v>2.1887999999999996</v>
      </c>
      <c r="T251" s="1186">
        <v>2.2799999999999998</v>
      </c>
      <c r="U251" s="1186">
        <v>3.2836041000000002</v>
      </c>
      <c r="V251" s="1186">
        <v>3.5070000000000001</v>
      </c>
      <c r="W251" s="1186"/>
      <c r="X251" s="1186"/>
      <c r="Y251" s="1186"/>
      <c r="Z251" s="1186"/>
      <c r="AA251" s="1186"/>
      <c r="AB251" s="1186"/>
      <c r="AC251" s="1186"/>
      <c r="AD251" s="1187"/>
    </row>
    <row r="252" spans="1:30" x14ac:dyDescent="0.2">
      <c r="A252">
        <f t="shared" si="31"/>
        <v>7</v>
      </c>
      <c r="B252">
        <v>243</v>
      </c>
      <c r="C252" s="1078">
        <v>2</v>
      </c>
      <c r="D252" s="1077" t="s">
        <v>3599</v>
      </c>
      <c r="E252" s="1077" t="s">
        <v>5372</v>
      </c>
      <c r="F252" s="1185">
        <v>4</v>
      </c>
      <c r="G252" s="1186">
        <v>8.8000000000000007</v>
      </c>
      <c r="H252" s="1186">
        <v>2.5</v>
      </c>
      <c r="I252" s="1186">
        <v>9.8000000000000007</v>
      </c>
      <c r="J252" s="1186">
        <v>2.6</v>
      </c>
      <c r="K252" s="1186">
        <v>4.5999999999999996</v>
      </c>
      <c r="L252" s="1186">
        <v>4.4000000000000004</v>
      </c>
      <c r="M252" s="1186">
        <v>5.6</v>
      </c>
      <c r="N252" s="1186">
        <v>4.8</v>
      </c>
      <c r="O252" s="1186">
        <v>5.2</v>
      </c>
      <c r="P252" s="1186">
        <v>6.7</v>
      </c>
      <c r="Q252" s="1186">
        <v>10.3</v>
      </c>
      <c r="R252" s="1186">
        <v>2.1</v>
      </c>
      <c r="S252" s="1186">
        <v>4.4000000000000004</v>
      </c>
      <c r="T252" s="1186">
        <v>2.9</v>
      </c>
      <c r="U252" s="1186">
        <v>4.4000000000000004</v>
      </c>
      <c r="V252" s="1186">
        <v>3.8</v>
      </c>
      <c r="W252" s="1186"/>
      <c r="X252" s="1186"/>
      <c r="Y252" s="1186"/>
      <c r="Z252" s="1186"/>
      <c r="AA252" s="1186"/>
      <c r="AB252" s="1186"/>
      <c r="AC252" s="1186"/>
      <c r="AD252" s="1187"/>
    </row>
    <row r="253" spans="1:30" x14ac:dyDescent="0.2">
      <c r="A253">
        <f t="shared" si="31"/>
        <v>7</v>
      </c>
      <c r="B253">
        <v>244</v>
      </c>
      <c r="C253" s="1078">
        <v>2</v>
      </c>
      <c r="D253" s="1077" t="s">
        <v>3599</v>
      </c>
      <c r="E253" s="1077" t="s">
        <v>5373</v>
      </c>
      <c r="F253" s="1185">
        <v>4</v>
      </c>
      <c r="G253" s="1186">
        <v>10.6</v>
      </c>
      <c r="H253" s="1186">
        <v>2.2999999999999998</v>
      </c>
      <c r="I253" s="1186">
        <v>11.7</v>
      </c>
      <c r="J253" s="1186">
        <v>2.4</v>
      </c>
      <c r="K253" s="1186">
        <v>4.5999999999999996</v>
      </c>
      <c r="L253" s="1186">
        <v>4.4000000000000004</v>
      </c>
      <c r="M253" s="1186">
        <v>5.6</v>
      </c>
      <c r="N253" s="1186">
        <v>4.8</v>
      </c>
      <c r="O253" s="1186">
        <v>5.8</v>
      </c>
      <c r="P253" s="1186">
        <v>6.5</v>
      </c>
      <c r="Q253" s="1186">
        <v>10.9</v>
      </c>
      <c r="R253" s="1186">
        <v>1.8</v>
      </c>
      <c r="S253" s="1186">
        <v>4.4000000000000004</v>
      </c>
      <c r="T253" s="1186">
        <v>2.9</v>
      </c>
      <c r="U253" s="1186">
        <v>4.9000000000000004</v>
      </c>
      <c r="V253" s="1186">
        <v>3.7</v>
      </c>
      <c r="W253" s="1186"/>
      <c r="X253" s="1186"/>
      <c r="Y253" s="1186"/>
      <c r="Z253" s="1186"/>
      <c r="AA253" s="1186"/>
      <c r="AB253" s="1186"/>
      <c r="AC253" s="1186"/>
      <c r="AD253" s="1187"/>
    </row>
    <row r="254" spans="1:30" x14ac:dyDescent="0.2">
      <c r="A254">
        <f t="shared" si="31"/>
        <v>7</v>
      </c>
      <c r="B254">
        <v>245</v>
      </c>
      <c r="C254" s="1078">
        <v>2</v>
      </c>
      <c r="D254" s="1077" t="s">
        <v>3599</v>
      </c>
      <c r="E254" s="1077" t="s">
        <v>5374</v>
      </c>
      <c r="F254" s="1185">
        <v>4</v>
      </c>
      <c r="G254" s="1186">
        <v>4.6664820000000002</v>
      </c>
      <c r="H254" s="1186">
        <v>2.3580000000000001</v>
      </c>
      <c r="I254" s="1186">
        <v>5.42</v>
      </c>
      <c r="J254" s="1186">
        <v>2.5099999999999998</v>
      </c>
      <c r="K254" s="1186">
        <v>2.41</v>
      </c>
      <c r="L254" s="1186">
        <v>3.92</v>
      </c>
      <c r="M254" s="1186">
        <v>2.8397779000000001</v>
      </c>
      <c r="N254" s="1186">
        <v>4.8229999999999995</v>
      </c>
      <c r="O254" s="1186">
        <v>2.7965339999999999</v>
      </c>
      <c r="P254" s="1186">
        <v>6.63</v>
      </c>
      <c r="Q254" s="1186">
        <v>4.7817440000000007</v>
      </c>
      <c r="R254" s="1186">
        <v>1.798</v>
      </c>
      <c r="S254" s="1186">
        <v>2.1887999999999996</v>
      </c>
      <c r="T254" s="1186">
        <v>2.2799999999999998</v>
      </c>
      <c r="U254" s="1186">
        <v>2.5984529999999997</v>
      </c>
      <c r="V254" s="1186">
        <v>3.51</v>
      </c>
      <c r="W254" s="1186"/>
      <c r="X254" s="1186"/>
      <c r="Y254" s="1186"/>
      <c r="Z254" s="1186"/>
      <c r="AA254" s="1186"/>
      <c r="AB254" s="1186"/>
      <c r="AC254" s="1186"/>
      <c r="AD254" s="1187"/>
    </row>
    <row r="255" spans="1:30" x14ac:dyDescent="0.2">
      <c r="A255">
        <f t="shared" si="31"/>
        <v>7</v>
      </c>
      <c r="B255">
        <v>246</v>
      </c>
      <c r="C255" s="1078">
        <v>2</v>
      </c>
      <c r="D255" s="1077" t="s">
        <v>3599</v>
      </c>
      <c r="E255" s="1077" t="s">
        <v>5375</v>
      </c>
      <c r="F255" s="1185">
        <v>4</v>
      </c>
      <c r="G255" s="1186">
        <v>5.8264080000000007</v>
      </c>
      <c r="H255" s="1186">
        <v>2.2120000000000002</v>
      </c>
      <c r="I255" s="1186">
        <v>6.71</v>
      </c>
      <c r="J255" s="1186">
        <v>2.36</v>
      </c>
      <c r="K255" s="1186">
        <v>2.87</v>
      </c>
      <c r="L255" s="1186">
        <v>4.0599999999999996</v>
      </c>
      <c r="M255" s="1186">
        <v>2.8397779000000001</v>
      </c>
      <c r="N255" s="1186">
        <v>4.8229999999999995</v>
      </c>
      <c r="O255" s="1186">
        <v>3.5017450000000001</v>
      </c>
      <c r="P255" s="1186">
        <v>6.3380000000000001</v>
      </c>
      <c r="Q255" s="1186">
        <v>5.0279520000000009</v>
      </c>
      <c r="R255" s="1186">
        <v>1.9</v>
      </c>
      <c r="S255" s="1186">
        <v>2.1887999999999996</v>
      </c>
      <c r="T255" s="1186">
        <v>2.2799999999999998</v>
      </c>
      <c r="U255" s="1186">
        <v>3.2836041000000002</v>
      </c>
      <c r="V255" s="1186">
        <v>3.5070000000000001</v>
      </c>
      <c r="W255" s="1186"/>
      <c r="X255" s="1186"/>
      <c r="Y255" s="1186"/>
      <c r="Z255" s="1186"/>
      <c r="AA255" s="1186"/>
      <c r="AB255" s="1186"/>
      <c r="AC255" s="1186"/>
      <c r="AD255" s="1187"/>
    </row>
    <row r="256" spans="1:30" x14ac:dyDescent="0.2">
      <c r="A256">
        <f t="shared" si="31"/>
        <v>7</v>
      </c>
      <c r="B256">
        <v>247</v>
      </c>
      <c r="C256" s="1078">
        <v>2</v>
      </c>
      <c r="D256" s="1077" t="s">
        <v>3599</v>
      </c>
      <c r="E256" s="1077" t="s">
        <v>5376</v>
      </c>
      <c r="F256" s="1185">
        <v>4</v>
      </c>
      <c r="G256" s="1186">
        <v>8.8000000000000007</v>
      </c>
      <c r="H256" s="1186">
        <v>2.5</v>
      </c>
      <c r="I256" s="1186">
        <v>9.8000000000000007</v>
      </c>
      <c r="J256" s="1186">
        <v>2.6</v>
      </c>
      <c r="K256" s="1186">
        <v>4.5999999999999996</v>
      </c>
      <c r="L256" s="1186">
        <v>4.4000000000000004</v>
      </c>
      <c r="M256" s="1186">
        <v>5.6</v>
      </c>
      <c r="N256" s="1186">
        <v>4.8</v>
      </c>
      <c r="O256" s="1186">
        <v>5.2</v>
      </c>
      <c r="P256" s="1186">
        <v>6.7</v>
      </c>
      <c r="Q256" s="1186">
        <v>10.3</v>
      </c>
      <c r="R256" s="1186">
        <v>2.1</v>
      </c>
      <c r="S256" s="1186">
        <v>4.4000000000000004</v>
      </c>
      <c r="T256" s="1186">
        <v>2.9</v>
      </c>
      <c r="U256" s="1186">
        <v>4.4000000000000004</v>
      </c>
      <c r="V256" s="1186">
        <v>3.8</v>
      </c>
      <c r="W256" s="1186"/>
      <c r="X256" s="1186"/>
      <c r="Y256" s="1186"/>
      <c r="Z256" s="1186"/>
      <c r="AA256" s="1186"/>
      <c r="AB256" s="1186"/>
      <c r="AC256" s="1186"/>
      <c r="AD256" s="1187"/>
    </row>
    <row r="257" spans="1:30" x14ac:dyDescent="0.2">
      <c r="A257">
        <f t="shared" si="31"/>
        <v>7</v>
      </c>
      <c r="B257">
        <v>248</v>
      </c>
      <c r="C257" s="1078">
        <v>2</v>
      </c>
      <c r="D257" s="1077" t="s">
        <v>3599</v>
      </c>
      <c r="E257" s="1077" t="s">
        <v>5377</v>
      </c>
      <c r="F257" s="1185">
        <v>4</v>
      </c>
      <c r="G257" s="1186">
        <v>10.6</v>
      </c>
      <c r="H257" s="1186">
        <v>2.2999999999999998</v>
      </c>
      <c r="I257" s="1186">
        <v>11.7</v>
      </c>
      <c r="J257" s="1186">
        <v>2.4</v>
      </c>
      <c r="K257" s="1186">
        <v>4.5999999999999996</v>
      </c>
      <c r="L257" s="1186">
        <v>4.4000000000000004</v>
      </c>
      <c r="M257" s="1186">
        <v>5.6</v>
      </c>
      <c r="N257" s="1186">
        <v>4.8</v>
      </c>
      <c r="O257" s="1186">
        <v>5.8</v>
      </c>
      <c r="P257" s="1186">
        <v>6.5</v>
      </c>
      <c r="Q257" s="1186">
        <v>10.9</v>
      </c>
      <c r="R257" s="1186">
        <v>1.8</v>
      </c>
      <c r="S257" s="1186">
        <v>4.4000000000000004</v>
      </c>
      <c r="T257" s="1186">
        <v>2.9</v>
      </c>
      <c r="U257" s="1186">
        <v>4.9000000000000004</v>
      </c>
      <c r="V257" s="1186">
        <v>3.7</v>
      </c>
      <c r="W257" s="1186"/>
      <c r="X257" s="1186"/>
      <c r="Y257" s="1186"/>
      <c r="Z257" s="1186"/>
      <c r="AA257" s="1186"/>
      <c r="AB257" s="1186"/>
      <c r="AC257" s="1186"/>
      <c r="AD257" s="1187"/>
    </row>
    <row r="258" spans="1:30" x14ac:dyDescent="0.2">
      <c r="A258">
        <f t="shared" si="31"/>
        <v>7</v>
      </c>
      <c r="B258">
        <v>249</v>
      </c>
      <c r="C258" s="1078">
        <v>2</v>
      </c>
      <c r="D258" s="1077" t="s">
        <v>3599</v>
      </c>
      <c r="E258" s="1077" t="s">
        <v>5307</v>
      </c>
      <c r="F258" s="1185">
        <v>2</v>
      </c>
      <c r="G258" s="1186">
        <v>31.7</v>
      </c>
      <c r="H258" s="1186">
        <v>2.6</v>
      </c>
      <c r="I258" s="1186">
        <v>38</v>
      </c>
      <c r="J258" s="1186">
        <v>3</v>
      </c>
      <c r="K258" s="1186">
        <v>26.6</v>
      </c>
      <c r="L258" s="1186">
        <v>3.6</v>
      </c>
      <c r="M258" s="1186">
        <v>35.299999999999997</v>
      </c>
      <c r="N258" s="1186">
        <v>4.5</v>
      </c>
      <c r="O258" s="1186">
        <v>44.4</v>
      </c>
      <c r="P258" s="1186">
        <v>5.25</v>
      </c>
      <c r="Q258" s="1186">
        <v>36.799999999999997</v>
      </c>
      <c r="R258" s="1186">
        <v>2.2999999999999998</v>
      </c>
      <c r="S258" s="1186">
        <v>31.7</v>
      </c>
      <c r="T258" s="1186">
        <v>3.2</v>
      </c>
      <c r="U258" s="1186">
        <v>40.5</v>
      </c>
      <c r="V258" s="1186">
        <v>3.9</v>
      </c>
      <c r="W258" s="1186"/>
      <c r="X258" s="1186"/>
      <c r="Y258" s="1186"/>
      <c r="Z258" s="1186"/>
      <c r="AA258" s="1186"/>
      <c r="AB258" s="1186"/>
      <c r="AC258" s="1186"/>
      <c r="AD258" s="1187"/>
    </row>
    <row r="259" spans="1:30" x14ac:dyDescent="0.2">
      <c r="A259">
        <f t="shared" si="31"/>
        <v>7</v>
      </c>
      <c r="B259">
        <v>250</v>
      </c>
      <c r="C259" s="1078">
        <v>2</v>
      </c>
      <c r="D259" s="1077" t="s">
        <v>3599</v>
      </c>
      <c r="E259" s="1077" t="s">
        <v>5180</v>
      </c>
      <c r="F259" s="1185">
        <v>2</v>
      </c>
      <c r="G259" s="1186">
        <v>16</v>
      </c>
      <c r="H259" s="1186">
        <v>2.6</v>
      </c>
      <c r="I259" s="1186">
        <v>19.899999999999999</v>
      </c>
      <c r="J259" s="1186">
        <v>3.1</v>
      </c>
      <c r="K259" s="1186">
        <v>13.3</v>
      </c>
      <c r="L259" s="1186">
        <v>4</v>
      </c>
      <c r="M259" s="1186">
        <v>16.2</v>
      </c>
      <c r="N259" s="1186">
        <v>4.9000000000000004</v>
      </c>
      <c r="O259" s="1186">
        <v>23.2</v>
      </c>
      <c r="P259" s="1186">
        <v>6.8</v>
      </c>
      <c r="Q259" s="1186">
        <v>19.7</v>
      </c>
      <c r="R259" s="1186">
        <v>2.2999999999999998</v>
      </c>
      <c r="S259" s="1186">
        <v>15.4</v>
      </c>
      <c r="T259" s="1186">
        <v>3.4</v>
      </c>
      <c r="U259" s="1186">
        <v>21.2</v>
      </c>
      <c r="V259" s="1186">
        <v>4.7</v>
      </c>
      <c r="W259" s="1186"/>
      <c r="X259" s="1186"/>
      <c r="Y259" s="1186"/>
      <c r="Z259" s="1186"/>
      <c r="AA259" s="1186"/>
      <c r="AB259" s="1186"/>
      <c r="AC259" s="1186"/>
      <c r="AD259" s="1187"/>
    </row>
    <row r="260" spans="1:30" x14ac:dyDescent="0.2">
      <c r="A260">
        <f t="shared" si="31"/>
        <v>7</v>
      </c>
      <c r="B260">
        <v>251</v>
      </c>
      <c r="C260" s="1078">
        <v>2</v>
      </c>
      <c r="D260" s="1077" t="s">
        <v>3599</v>
      </c>
      <c r="E260" s="1077" t="s">
        <v>5181</v>
      </c>
      <c r="F260" s="1185">
        <v>2</v>
      </c>
      <c r="G260" s="1186">
        <v>34.6</v>
      </c>
      <c r="H260" s="1186">
        <v>2.7</v>
      </c>
      <c r="I260" s="1186">
        <v>42.1</v>
      </c>
      <c r="J260" s="1186">
        <v>3.1</v>
      </c>
      <c r="K260" s="1186">
        <v>25.7</v>
      </c>
      <c r="L260" s="1186">
        <v>3.9</v>
      </c>
      <c r="M260" s="1186">
        <v>33.299999999999997</v>
      </c>
      <c r="N260" s="1186">
        <v>4.9000000000000004</v>
      </c>
      <c r="O260" s="1186">
        <v>42.5</v>
      </c>
      <c r="P260" s="1186">
        <v>6.4</v>
      </c>
      <c r="Q260" s="1186">
        <v>41.5</v>
      </c>
      <c r="R260" s="1186">
        <v>2.2999999999999998</v>
      </c>
      <c r="S260" s="1186">
        <v>31.8</v>
      </c>
      <c r="T260" s="1186">
        <v>3.4</v>
      </c>
      <c r="U260" s="1186">
        <v>37.9</v>
      </c>
      <c r="V260" s="1186">
        <v>4.2</v>
      </c>
      <c r="W260" s="1186"/>
      <c r="X260" s="1186"/>
      <c r="Y260" s="1186"/>
      <c r="Z260" s="1186"/>
      <c r="AA260" s="1186"/>
      <c r="AB260" s="1186"/>
      <c r="AC260" s="1186"/>
      <c r="AD260" s="1187"/>
    </row>
    <row r="261" spans="1:30" x14ac:dyDescent="0.2">
      <c r="A261">
        <f t="shared" si="31"/>
        <v>7</v>
      </c>
      <c r="B261">
        <v>252</v>
      </c>
      <c r="C261" s="1078">
        <v>2</v>
      </c>
      <c r="D261" s="1077" t="s">
        <v>3599</v>
      </c>
      <c r="E261" s="1077" t="s">
        <v>5312</v>
      </c>
      <c r="F261" s="1185">
        <v>2</v>
      </c>
      <c r="G261" s="1186">
        <v>7.95</v>
      </c>
      <c r="H261" s="1186">
        <v>2.52</v>
      </c>
      <c r="I261" s="1186">
        <v>11.04</v>
      </c>
      <c r="J261" s="1186">
        <v>3.28</v>
      </c>
      <c r="K261" s="1186">
        <v>7.2549999999999999</v>
      </c>
      <c r="L261" s="1186">
        <v>4.1900000000000004</v>
      </c>
      <c r="M261" s="1186">
        <v>8.266</v>
      </c>
      <c r="N261" s="1186">
        <v>4.8</v>
      </c>
      <c r="O261" s="1186">
        <v>11.04</v>
      </c>
      <c r="P261" s="1186">
        <v>6.56</v>
      </c>
      <c r="Q261" s="1186">
        <v>10.76</v>
      </c>
      <c r="R261" s="1186">
        <v>2.1800000000000002</v>
      </c>
      <c r="S261" s="1186">
        <v>7.74</v>
      </c>
      <c r="T261" s="1186">
        <v>3.11</v>
      </c>
      <c r="U261" s="1186">
        <v>9.6999999999999993</v>
      </c>
      <c r="V261" s="1186">
        <v>3.85</v>
      </c>
      <c r="W261" s="1186"/>
      <c r="X261" s="1186"/>
      <c r="Y261" s="1186"/>
      <c r="Z261" s="1186"/>
      <c r="AA261" s="1186"/>
      <c r="AB261" s="1186"/>
      <c r="AC261" s="1186"/>
      <c r="AD261" s="1187"/>
    </row>
    <row r="262" spans="1:30" x14ac:dyDescent="0.2">
      <c r="A262">
        <f t="shared" si="31"/>
        <v>7</v>
      </c>
      <c r="B262">
        <v>253</v>
      </c>
      <c r="C262" s="1078">
        <v>2</v>
      </c>
      <c r="D262" s="1077" t="s">
        <v>3599</v>
      </c>
      <c r="E262" s="1077" t="s">
        <v>5313</v>
      </c>
      <c r="F262" s="1185">
        <v>1</v>
      </c>
      <c r="G262" s="1186">
        <v>5.6</v>
      </c>
      <c r="H262" s="1186">
        <v>2.4</v>
      </c>
      <c r="I262" s="1186">
        <v>7.3</v>
      </c>
      <c r="J262" s="1186">
        <v>3.1</v>
      </c>
      <c r="K262" s="1186">
        <v>9.5</v>
      </c>
      <c r="L262" s="1186">
        <v>4</v>
      </c>
      <c r="M262" s="1186">
        <v>11.26</v>
      </c>
      <c r="N262" s="1186">
        <v>4.72</v>
      </c>
      <c r="O262" s="1186">
        <v>14.68</v>
      </c>
      <c r="P262" s="1186">
        <v>5.34</v>
      </c>
      <c r="Q262" s="1186">
        <v>7.23</v>
      </c>
      <c r="R262" s="1186">
        <v>2.1800000000000002</v>
      </c>
      <c r="S262" s="1186">
        <v>9.9700000000000006</v>
      </c>
      <c r="T262" s="1186">
        <v>2.96</v>
      </c>
      <c r="U262" s="1186">
        <v>13.1</v>
      </c>
      <c r="V262" s="1186">
        <v>3.93</v>
      </c>
      <c r="W262" s="1186"/>
      <c r="X262" s="1186"/>
      <c r="Y262" s="1186"/>
      <c r="Z262" s="1186"/>
      <c r="AA262" s="1186"/>
      <c r="AB262" s="1186"/>
      <c r="AC262" s="1186"/>
      <c r="AD262" s="1187"/>
    </row>
    <row r="263" spans="1:30" x14ac:dyDescent="0.2">
      <c r="A263">
        <f t="shared" si="31"/>
        <v>7</v>
      </c>
      <c r="B263">
        <v>254</v>
      </c>
      <c r="C263" s="1078">
        <v>2</v>
      </c>
      <c r="D263" s="1077" t="s">
        <v>3599</v>
      </c>
      <c r="E263" s="1077" t="s">
        <v>5314</v>
      </c>
      <c r="F263" s="1185">
        <v>2</v>
      </c>
      <c r="G263" s="1186">
        <v>11.39</v>
      </c>
      <c r="H263" s="1186">
        <v>2.67</v>
      </c>
      <c r="I263" s="1186">
        <v>13.89</v>
      </c>
      <c r="J263" s="1186">
        <v>3.11</v>
      </c>
      <c r="K263" s="1186">
        <v>15.86</v>
      </c>
      <c r="L263" s="1186">
        <v>3.7</v>
      </c>
      <c r="M263" s="1186">
        <v>11.67</v>
      </c>
      <c r="N263" s="1186">
        <v>5.04</v>
      </c>
      <c r="O263" s="1186">
        <v>13.57</v>
      </c>
      <c r="P263" s="1186">
        <v>5.93</v>
      </c>
      <c r="Q263" s="1186">
        <v>13.19</v>
      </c>
      <c r="R263" s="1186">
        <v>2.25</v>
      </c>
      <c r="S263" s="1186">
        <v>10.79</v>
      </c>
      <c r="T263" s="1186">
        <v>3.17</v>
      </c>
      <c r="U263" s="1186">
        <v>12.23</v>
      </c>
      <c r="V263" s="1186">
        <v>3.63</v>
      </c>
      <c r="W263" s="1186"/>
      <c r="X263" s="1186"/>
      <c r="Y263" s="1186"/>
      <c r="Z263" s="1186"/>
      <c r="AA263" s="1186"/>
      <c r="AB263" s="1186"/>
      <c r="AC263" s="1186"/>
      <c r="AD263" s="1187"/>
    </row>
    <row r="264" spans="1:30" x14ac:dyDescent="0.2">
      <c r="A264">
        <f t="shared" si="31"/>
        <v>7</v>
      </c>
      <c r="B264">
        <v>255</v>
      </c>
      <c r="C264" s="1078">
        <v>2</v>
      </c>
      <c r="D264" s="1077" t="s">
        <v>3599</v>
      </c>
      <c r="E264" s="1077" t="s">
        <v>5315</v>
      </c>
      <c r="F264" s="1185">
        <v>2</v>
      </c>
      <c r="G264" s="1186">
        <v>13.74</v>
      </c>
      <c r="H264" s="1186">
        <v>2.6</v>
      </c>
      <c r="I264" s="1186">
        <v>18.350000000000001</v>
      </c>
      <c r="J264" s="1186">
        <v>3.24</v>
      </c>
      <c r="K264" s="1186">
        <v>18.63</v>
      </c>
      <c r="L264" s="1186">
        <v>3.65</v>
      </c>
      <c r="M264" s="1186">
        <v>14.17</v>
      </c>
      <c r="N264" s="1186">
        <v>4.8099999999999996</v>
      </c>
      <c r="O264" s="1186">
        <v>17.989999999999998</v>
      </c>
      <c r="P264" s="1186">
        <v>6.2</v>
      </c>
      <c r="Q264" s="1186">
        <v>18.190000000000001</v>
      </c>
      <c r="R264" s="1186">
        <v>2.31</v>
      </c>
      <c r="S264" s="1186">
        <v>13.05</v>
      </c>
      <c r="T264" s="1186">
        <v>3.08</v>
      </c>
      <c r="U264" s="1186">
        <v>16.38</v>
      </c>
      <c r="V264" s="1186">
        <v>3.86</v>
      </c>
      <c r="W264" s="1186"/>
      <c r="X264" s="1186"/>
      <c r="Y264" s="1186"/>
      <c r="Z264" s="1186"/>
      <c r="AA264" s="1186"/>
      <c r="AB264" s="1186"/>
      <c r="AC264" s="1186"/>
      <c r="AD264" s="1187"/>
    </row>
    <row r="265" spans="1:30" x14ac:dyDescent="0.2">
      <c r="A265">
        <f t="shared" si="31"/>
        <v>7</v>
      </c>
      <c r="B265">
        <v>256</v>
      </c>
      <c r="C265" s="1078">
        <v>2</v>
      </c>
      <c r="D265" s="1077" t="s">
        <v>3599</v>
      </c>
      <c r="E265" s="1077" t="s">
        <v>5316</v>
      </c>
      <c r="F265" s="1185">
        <v>4</v>
      </c>
      <c r="G265" s="1186">
        <v>9.4</v>
      </c>
      <c r="H265" s="1186">
        <v>2.4</v>
      </c>
      <c r="I265" s="1186">
        <v>11.2</v>
      </c>
      <c r="J265" s="1186">
        <v>2.9</v>
      </c>
      <c r="K265" s="1186">
        <v>4.9000000000000004</v>
      </c>
      <c r="L265" s="1186">
        <v>4.5</v>
      </c>
      <c r="M265" s="1186">
        <v>4.6500000000000004</v>
      </c>
      <c r="N265" s="1186">
        <v>5.6</v>
      </c>
      <c r="O265" s="1186">
        <v>5.96</v>
      </c>
      <c r="P265" s="1186">
        <v>7.86</v>
      </c>
      <c r="Q265" s="1186">
        <v>10.14</v>
      </c>
      <c r="R265" s="1186">
        <v>2.0299999999999998</v>
      </c>
      <c r="S265" s="1186">
        <v>4</v>
      </c>
      <c r="T265" s="1186">
        <v>3.2</v>
      </c>
      <c r="U265" s="1186">
        <v>5.31</v>
      </c>
      <c r="V265" s="1186">
        <v>4.32</v>
      </c>
      <c r="W265" s="1186"/>
      <c r="X265" s="1186"/>
      <c r="Y265" s="1186"/>
      <c r="Z265" s="1186"/>
      <c r="AA265" s="1186"/>
      <c r="AB265" s="1186"/>
      <c r="AC265" s="1186"/>
      <c r="AD265" s="1187"/>
    </row>
    <row r="266" spans="1:30" x14ac:dyDescent="0.2">
      <c r="A266">
        <f t="shared" si="31"/>
        <v>7</v>
      </c>
      <c r="B266">
        <v>257</v>
      </c>
      <c r="C266" s="1078">
        <v>2</v>
      </c>
      <c r="D266" s="1077" t="s">
        <v>3599</v>
      </c>
      <c r="E266" s="1077" t="s">
        <v>5317</v>
      </c>
      <c r="F266" s="1185">
        <v>2</v>
      </c>
      <c r="G266" s="1186">
        <v>11.39</v>
      </c>
      <c r="H266" s="1186">
        <v>2.67</v>
      </c>
      <c r="I266" s="1186">
        <v>13.89</v>
      </c>
      <c r="J266" s="1186">
        <v>3.11</v>
      </c>
      <c r="K266" s="1186">
        <v>15.86</v>
      </c>
      <c r="L266" s="1186">
        <v>3.7</v>
      </c>
      <c r="M266" s="1186">
        <v>11.67</v>
      </c>
      <c r="N266" s="1186">
        <v>5.04</v>
      </c>
      <c r="O266" s="1186">
        <v>13.57</v>
      </c>
      <c r="P266" s="1186">
        <v>5.93</v>
      </c>
      <c r="Q266" s="1186">
        <v>13.19</v>
      </c>
      <c r="R266" s="1186">
        <v>2.25</v>
      </c>
      <c r="S266" s="1186">
        <v>10.79</v>
      </c>
      <c r="T266" s="1186">
        <v>3.17</v>
      </c>
      <c r="U266" s="1186">
        <v>12.23</v>
      </c>
      <c r="V266" s="1186">
        <v>3.63</v>
      </c>
      <c r="W266" s="1186"/>
      <c r="X266" s="1186"/>
      <c r="Y266" s="1186"/>
      <c r="Z266" s="1186"/>
      <c r="AA266" s="1186"/>
      <c r="AB266" s="1186"/>
      <c r="AC266" s="1186"/>
      <c r="AD266" s="1187"/>
    </row>
    <row r="267" spans="1:30" x14ac:dyDescent="0.2">
      <c r="A267">
        <f t="shared" si="31"/>
        <v>7</v>
      </c>
      <c r="B267">
        <v>258</v>
      </c>
      <c r="C267" s="1078">
        <v>2</v>
      </c>
      <c r="D267" s="1077" t="s">
        <v>3599</v>
      </c>
      <c r="E267" s="1077" t="s">
        <v>5560</v>
      </c>
      <c r="F267" s="1185">
        <v>1</v>
      </c>
      <c r="G267" s="1186">
        <v>12.6</v>
      </c>
      <c r="H267" s="1186">
        <v>2.5</v>
      </c>
      <c r="I267" s="1186">
        <v>15</v>
      </c>
      <c r="J267" s="1186">
        <v>3.1</v>
      </c>
      <c r="K267" s="1186">
        <v>14.4</v>
      </c>
      <c r="L267" s="1186">
        <v>4.3</v>
      </c>
      <c r="M267" s="1186">
        <v>12.7</v>
      </c>
      <c r="N267" s="1186">
        <v>5.13</v>
      </c>
      <c r="O267" s="1186">
        <v>14.4</v>
      </c>
      <c r="P267" s="1186">
        <v>6.5</v>
      </c>
      <c r="Q267" s="1186">
        <v>13</v>
      </c>
      <c r="R267" s="1186">
        <v>2.1</v>
      </c>
      <c r="S267" s="1186">
        <v>11.5</v>
      </c>
      <c r="T267" s="1186">
        <v>3.1</v>
      </c>
      <c r="U267" s="1186">
        <v>12.5</v>
      </c>
      <c r="V267" s="1186">
        <v>3.9</v>
      </c>
      <c r="W267" s="1186"/>
      <c r="X267" s="1186"/>
      <c r="Y267" s="1186"/>
      <c r="Z267" s="1186"/>
      <c r="AA267" s="1186"/>
      <c r="AB267" s="1186"/>
      <c r="AC267" s="1186"/>
      <c r="AD267" s="1187"/>
    </row>
    <row r="268" spans="1:30" x14ac:dyDescent="0.2">
      <c r="A268">
        <f t="shared" ref="A268:A331" si="38">A267+(D268&lt;&gt;D267)*1</f>
        <v>7</v>
      </c>
      <c r="B268">
        <v>259</v>
      </c>
      <c r="C268" s="1078">
        <v>2</v>
      </c>
      <c r="D268" s="1077" t="s">
        <v>3599</v>
      </c>
      <c r="E268" s="1077" t="s">
        <v>5561</v>
      </c>
      <c r="F268" s="1185">
        <v>1</v>
      </c>
      <c r="G268" s="1186">
        <v>12.4</v>
      </c>
      <c r="H268" s="1186">
        <v>2.4</v>
      </c>
      <c r="I268" s="1186">
        <v>19</v>
      </c>
      <c r="J268" s="1186">
        <v>2.5</v>
      </c>
      <c r="K268" s="1186">
        <v>19.5</v>
      </c>
      <c r="L268" s="1186">
        <v>3.5</v>
      </c>
      <c r="M268" s="1186">
        <v>18.3</v>
      </c>
      <c r="N268" s="1186">
        <v>4.7</v>
      </c>
      <c r="O268" s="1186">
        <v>21.9</v>
      </c>
      <c r="P268" s="1186">
        <v>6</v>
      </c>
      <c r="Q268" s="1186">
        <v>17.7</v>
      </c>
      <c r="R268" s="1186">
        <v>1.6</v>
      </c>
      <c r="S268" s="1186">
        <v>16.5</v>
      </c>
      <c r="T268" s="1186">
        <v>2.8</v>
      </c>
      <c r="U268" s="1186">
        <v>20</v>
      </c>
      <c r="V268" s="1186">
        <v>3.7</v>
      </c>
      <c r="W268" s="1186"/>
      <c r="X268" s="1186"/>
      <c r="Y268" s="1186"/>
      <c r="Z268" s="1186"/>
      <c r="AA268" s="1186"/>
      <c r="AB268" s="1186"/>
      <c r="AC268" s="1186"/>
      <c r="AD268" s="1187"/>
    </row>
    <row r="269" spans="1:30" x14ac:dyDescent="0.2">
      <c r="A269">
        <f t="shared" si="38"/>
        <v>8</v>
      </c>
      <c r="B269">
        <v>260</v>
      </c>
      <c r="C269" s="1078">
        <v>2</v>
      </c>
      <c r="D269" s="1077" t="s">
        <v>3597</v>
      </c>
      <c r="E269" s="1077" t="s">
        <v>4821</v>
      </c>
      <c r="F269" s="1185">
        <v>4</v>
      </c>
      <c r="G269" s="1186">
        <v>4.82</v>
      </c>
      <c r="H269" s="1186">
        <v>2.5099999999999998</v>
      </c>
      <c r="I269" s="1186">
        <v>5.52</v>
      </c>
      <c r="J269" s="1186">
        <v>2.79</v>
      </c>
      <c r="K269" s="1186">
        <v>5.2</v>
      </c>
      <c r="L269" s="1186">
        <v>3.79</v>
      </c>
      <c r="M269" s="1186">
        <v>4.05</v>
      </c>
      <c r="N269" s="1186">
        <v>4.13</v>
      </c>
      <c r="O269" s="1186">
        <v>2.63</v>
      </c>
      <c r="P269" s="1186">
        <v>3.7</v>
      </c>
      <c r="Q269" s="1186">
        <v>4.9000000000000004</v>
      </c>
      <c r="R269" s="1186">
        <v>2</v>
      </c>
      <c r="S269" s="1186">
        <v>3.7</v>
      </c>
      <c r="T269" s="1186">
        <v>2.5</v>
      </c>
      <c r="U269" s="1186">
        <v>3.1</v>
      </c>
      <c r="V269" s="1186">
        <v>2.7</v>
      </c>
      <c r="W269" s="1186"/>
      <c r="X269" s="1186"/>
      <c r="Y269" s="1186"/>
      <c r="Z269" s="1186"/>
      <c r="AA269" s="1186"/>
      <c r="AB269" s="1186"/>
      <c r="AC269" s="1186"/>
      <c r="AD269" s="1187"/>
    </row>
    <row r="270" spans="1:30" x14ac:dyDescent="0.2">
      <c r="A270">
        <f t="shared" si="38"/>
        <v>8</v>
      </c>
      <c r="B270">
        <v>261</v>
      </c>
      <c r="C270" s="1078">
        <v>2</v>
      </c>
      <c r="D270" s="1077" t="s">
        <v>3597</v>
      </c>
      <c r="E270" s="1077" t="s">
        <v>4822</v>
      </c>
      <c r="F270" s="1185">
        <v>4</v>
      </c>
      <c r="G270" s="1186">
        <v>4.82</v>
      </c>
      <c r="H270" s="1186">
        <v>2.5099999999999998</v>
      </c>
      <c r="I270" s="1186">
        <v>4.3600000000000003</v>
      </c>
      <c r="J270" s="1186">
        <v>3.27</v>
      </c>
      <c r="K270" s="1186">
        <v>4.05</v>
      </c>
      <c r="L270" s="1186">
        <v>4.13</v>
      </c>
      <c r="M270" s="1186">
        <v>3.2</v>
      </c>
      <c r="N270" s="1186">
        <v>4</v>
      </c>
      <c r="O270" s="1186">
        <v>2.63</v>
      </c>
      <c r="P270" s="1186">
        <v>3.7</v>
      </c>
      <c r="Q270" s="1186">
        <v>3.7</v>
      </c>
      <c r="R270" s="1186">
        <v>1.9</v>
      </c>
      <c r="S270" s="1186">
        <v>3.1</v>
      </c>
      <c r="T270" s="1186">
        <v>2.4</v>
      </c>
      <c r="U270" s="1186">
        <v>2.5</v>
      </c>
      <c r="V270" s="1186">
        <v>2.5</v>
      </c>
      <c r="W270" s="1186"/>
      <c r="X270" s="1186"/>
      <c r="Y270" s="1186"/>
      <c r="Z270" s="1186"/>
      <c r="AA270" s="1186"/>
      <c r="AB270" s="1186"/>
      <c r="AC270" s="1186"/>
      <c r="AD270" s="1187"/>
    </row>
    <row r="271" spans="1:30" x14ac:dyDescent="0.2">
      <c r="A271">
        <f t="shared" si="38"/>
        <v>8</v>
      </c>
      <c r="B271">
        <v>262</v>
      </c>
      <c r="C271" s="1078">
        <v>2</v>
      </c>
      <c r="D271" s="1077" t="s">
        <v>3597</v>
      </c>
      <c r="E271" s="1077" t="s">
        <v>4823</v>
      </c>
      <c r="F271" s="1185">
        <v>4</v>
      </c>
      <c r="G271" s="1186">
        <v>7.22</v>
      </c>
      <c r="H271" s="1186">
        <v>2.14</v>
      </c>
      <c r="I271" s="1186">
        <v>8.7100000000000009</v>
      </c>
      <c r="J271" s="1186">
        <v>2.44</v>
      </c>
      <c r="K271" s="1186">
        <v>8.0299999999999994</v>
      </c>
      <c r="L271" s="1186">
        <v>3.36</v>
      </c>
      <c r="M271" s="1186">
        <v>6.53</v>
      </c>
      <c r="N271" s="1186">
        <v>3.96</v>
      </c>
      <c r="O271" s="1186">
        <v>4.88</v>
      </c>
      <c r="P271" s="1186">
        <v>3.94</v>
      </c>
      <c r="Q271" s="1186">
        <v>8.5</v>
      </c>
      <c r="R271" s="1186">
        <v>2.1</v>
      </c>
      <c r="S271" s="1186">
        <v>7</v>
      </c>
      <c r="T271" s="1186">
        <v>2.9</v>
      </c>
      <c r="U271" s="1186">
        <v>6.2</v>
      </c>
      <c r="V271" s="1186">
        <v>3.1</v>
      </c>
      <c r="W271" s="1186"/>
      <c r="X271" s="1186"/>
      <c r="Y271" s="1186"/>
      <c r="Z271" s="1186"/>
      <c r="AA271" s="1186"/>
      <c r="AB271" s="1186"/>
      <c r="AC271" s="1186"/>
      <c r="AD271" s="1187"/>
    </row>
    <row r="272" spans="1:30" x14ac:dyDescent="0.2">
      <c r="A272">
        <f t="shared" si="38"/>
        <v>8</v>
      </c>
      <c r="B272">
        <v>263</v>
      </c>
      <c r="C272" s="1078">
        <v>2</v>
      </c>
      <c r="D272" s="1077" t="s">
        <v>3597</v>
      </c>
      <c r="E272" s="1077" t="s">
        <v>4824</v>
      </c>
      <c r="F272" s="1185">
        <v>4</v>
      </c>
      <c r="G272" s="1186">
        <v>7.22</v>
      </c>
      <c r="H272" s="1186">
        <v>2.14</v>
      </c>
      <c r="I272" s="1186">
        <v>7.01</v>
      </c>
      <c r="J272" s="1186">
        <v>3.02</v>
      </c>
      <c r="K272" s="1186">
        <v>6.53</v>
      </c>
      <c r="L272" s="1186">
        <v>3.96</v>
      </c>
      <c r="M272" s="1186">
        <v>5.8</v>
      </c>
      <c r="N272" s="1186">
        <v>4.8</v>
      </c>
      <c r="O272" s="1186">
        <v>4.88</v>
      </c>
      <c r="P272" s="1186">
        <v>3.94</v>
      </c>
      <c r="Q272" s="1186">
        <v>6.8</v>
      </c>
      <c r="R272" s="1186">
        <v>2.2000000000000002</v>
      </c>
      <c r="S272" s="1186">
        <v>6.2</v>
      </c>
      <c r="T272" s="1186">
        <v>3</v>
      </c>
      <c r="U272" s="1186">
        <v>5.4</v>
      </c>
      <c r="V272" s="1186">
        <v>3.1</v>
      </c>
      <c r="W272" s="1186"/>
      <c r="X272" s="1186"/>
      <c r="Y272" s="1186"/>
      <c r="Z272" s="1186"/>
      <c r="AA272" s="1186"/>
      <c r="AB272" s="1186"/>
      <c r="AC272" s="1186"/>
      <c r="AD272" s="1187"/>
    </row>
    <row r="273" spans="1:30" x14ac:dyDescent="0.2">
      <c r="A273">
        <f t="shared" si="38"/>
        <v>8</v>
      </c>
      <c r="B273">
        <v>264</v>
      </c>
      <c r="C273" s="1078">
        <v>2</v>
      </c>
      <c r="D273" s="1077" t="s">
        <v>3597</v>
      </c>
      <c r="E273" s="1077" t="s">
        <v>4825</v>
      </c>
      <c r="F273" s="1185">
        <v>4</v>
      </c>
      <c r="G273" s="1186">
        <v>4.82</v>
      </c>
      <c r="H273" s="1186">
        <v>2.5099999999999998</v>
      </c>
      <c r="I273" s="1186">
        <v>5.52</v>
      </c>
      <c r="J273" s="1186">
        <v>2.79</v>
      </c>
      <c r="K273" s="1186">
        <v>5.2</v>
      </c>
      <c r="L273" s="1186">
        <v>3.79</v>
      </c>
      <c r="M273" s="1186">
        <v>4.05</v>
      </c>
      <c r="N273" s="1186">
        <v>4.13</v>
      </c>
      <c r="O273" s="1186">
        <v>2.63</v>
      </c>
      <c r="P273" s="1186">
        <v>3.7</v>
      </c>
      <c r="Q273" s="1186">
        <v>4.9000000000000004</v>
      </c>
      <c r="R273" s="1186">
        <v>2</v>
      </c>
      <c r="S273" s="1186">
        <v>3.7</v>
      </c>
      <c r="T273" s="1186">
        <v>2.5</v>
      </c>
      <c r="U273" s="1186">
        <v>3.1</v>
      </c>
      <c r="V273" s="1186">
        <v>2.7</v>
      </c>
      <c r="W273" s="1186"/>
      <c r="X273" s="1186"/>
      <c r="Y273" s="1186"/>
      <c r="Z273" s="1186"/>
      <c r="AA273" s="1186"/>
      <c r="AB273" s="1186"/>
      <c r="AC273" s="1186"/>
      <c r="AD273" s="1187"/>
    </row>
    <row r="274" spans="1:30" x14ac:dyDescent="0.2">
      <c r="A274">
        <f t="shared" si="38"/>
        <v>8</v>
      </c>
      <c r="B274">
        <v>265</v>
      </c>
      <c r="C274" s="1078">
        <v>2</v>
      </c>
      <c r="D274" s="1077" t="s">
        <v>3597</v>
      </c>
      <c r="E274" s="1077" t="s">
        <v>4826</v>
      </c>
      <c r="F274" s="1185">
        <v>4</v>
      </c>
      <c r="G274" s="1186">
        <v>4.82</v>
      </c>
      <c r="H274" s="1186">
        <v>2.5099999999999998</v>
      </c>
      <c r="I274" s="1186">
        <v>4.3600000000000003</v>
      </c>
      <c r="J274" s="1186">
        <v>3.27</v>
      </c>
      <c r="K274" s="1186">
        <v>4.05</v>
      </c>
      <c r="L274" s="1186">
        <v>4.13</v>
      </c>
      <c r="M274" s="1186">
        <v>3.2</v>
      </c>
      <c r="N274" s="1186">
        <v>4</v>
      </c>
      <c r="O274" s="1186">
        <v>2.63</v>
      </c>
      <c r="P274" s="1186">
        <v>3.7</v>
      </c>
      <c r="Q274" s="1186">
        <v>3.7</v>
      </c>
      <c r="R274" s="1186">
        <v>1.9</v>
      </c>
      <c r="S274" s="1186">
        <v>3.1</v>
      </c>
      <c r="T274" s="1186">
        <v>2.4</v>
      </c>
      <c r="U274" s="1186">
        <v>2.5</v>
      </c>
      <c r="V274" s="1186">
        <v>2.5</v>
      </c>
      <c r="W274" s="1186"/>
      <c r="X274" s="1186"/>
      <c r="Y274" s="1186"/>
      <c r="Z274" s="1186"/>
      <c r="AA274" s="1186"/>
      <c r="AB274" s="1186"/>
      <c r="AC274" s="1186"/>
      <c r="AD274" s="1187"/>
    </row>
    <row r="275" spans="1:30" x14ac:dyDescent="0.2">
      <c r="A275">
        <f t="shared" si="38"/>
        <v>8</v>
      </c>
      <c r="B275">
        <v>266</v>
      </c>
      <c r="C275" s="1078">
        <v>2</v>
      </c>
      <c r="D275" s="1077" t="s">
        <v>3597</v>
      </c>
      <c r="E275" s="1077" t="s">
        <v>4827</v>
      </c>
      <c r="F275" s="1185">
        <v>4</v>
      </c>
      <c r="G275" s="1186">
        <v>7.22</v>
      </c>
      <c r="H275" s="1186">
        <v>2.14</v>
      </c>
      <c r="I275" s="1186">
        <v>8.7100000000000009</v>
      </c>
      <c r="J275" s="1186">
        <v>2.44</v>
      </c>
      <c r="K275" s="1186">
        <v>8.0299999999999994</v>
      </c>
      <c r="L275" s="1186">
        <v>3.36</v>
      </c>
      <c r="M275" s="1186">
        <v>6.53</v>
      </c>
      <c r="N275" s="1186">
        <v>3.96</v>
      </c>
      <c r="O275" s="1186">
        <v>4.88</v>
      </c>
      <c r="P275" s="1186">
        <v>3.94</v>
      </c>
      <c r="Q275" s="1186">
        <v>8.5</v>
      </c>
      <c r="R275" s="1186">
        <v>2.1</v>
      </c>
      <c r="S275" s="1186">
        <v>7</v>
      </c>
      <c r="T275" s="1186">
        <v>2.9</v>
      </c>
      <c r="U275" s="1186">
        <v>6.2</v>
      </c>
      <c r="V275" s="1186">
        <v>3.1</v>
      </c>
      <c r="W275" s="1186"/>
      <c r="X275" s="1186"/>
      <c r="Y275" s="1186"/>
      <c r="Z275" s="1186"/>
      <c r="AA275" s="1186"/>
      <c r="AB275" s="1186"/>
      <c r="AC275" s="1186"/>
      <c r="AD275" s="1187"/>
    </row>
    <row r="276" spans="1:30" x14ac:dyDescent="0.2">
      <c r="A276">
        <f t="shared" si="38"/>
        <v>8</v>
      </c>
      <c r="B276">
        <v>267</v>
      </c>
      <c r="C276" s="1078">
        <v>2</v>
      </c>
      <c r="D276" s="1077" t="s">
        <v>3597</v>
      </c>
      <c r="E276" s="1077" t="s">
        <v>4828</v>
      </c>
      <c r="F276" s="1185">
        <v>4</v>
      </c>
      <c r="G276" s="1186">
        <v>7.22</v>
      </c>
      <c r="H276" s="1186">
        <v>2.14</v>
      </c>
      <c r="I276" s="1186">
        <v>7.01</v>
      </c>
      <c r="J276" s="1186">
        <v>3.02</v>
      </c>
      <c r="K276" s="1186">
        <v>6.53</v>
      </c>
      <c r="L276" s="1186">
        <v>3.96</v>
      </c>
      <c r="M276" s="1186">
        <v>5.8</v>
      </c>
      <c r="N276" s="1186">
        <v>4.8</v>
      </c>
      <c r="O276" s="1186">
        <v>4.88</v>
      </c>
      <c r="P276" s="1186">
        <v>3.94</v>
      </c>
      <c r="Q276" s="1186">
        <v>6.8</v>
      </c>
      <c r="R276" s="1186">
        <v>2.2000000000000002</v>
      </c>
      <c r="S276" s="1186">
        <v>6.2</v>
      </c>
      <c r="T276" s="1186">
        <v>3</v>
      </c>
      <c r="U276" s="1186">
        <v>5.4</v>
      </c>
      <c r="V276" s="1186">
        <v>3.1</v>
      </c>
      <c r="W276" s="1186"/>
      <c r="X276" s="1186"/>
      <c r="Y276" s="1186"/>
      <c r="Z276" s="1186"/>
      <c r="AA276" s="1186"/>
      <c r="AB276" s="1186"/>
      <c r="AC276" s="1186"/>
      <c r="AD276" s="1187"/>
    </row>
    <row r="277" spans="1:30" x14ac:dyDescent="0.2">
      <c r="A277">
        <f t="shared" si="38"/>
        <v>8</v>
      </c>
      <c r="B277">
        <v>268</v>
      </c>
      <c r="C277" s="1078">
        <v>2</v>
      </c>
      <c r="D277" s="1077" t="s">
        <v>3597</v>
      </c>
      <c r="E277" s="1077" t="s">
        <v>4829</v>
      </c>
      <c r="F277" s="1185">
        <v>4</v>
      </c>
      <c r="G277" s="1186">
        <v>11.1</v>
      </c>
      <c r="H277" s="1186">
        <v>2.6</v>
      </c>
      <c r="I277" s="1186">
        <v>13.9</v>
      </c>
      <c r="J277" s="1186">
        <v>3.2</v>
      </c>
      <c r="K277" s="1186">
        <v>10.199999999999999</v>
      </c>
      <c r="L277" s="1186">
        <v>3.9</v>
      </c>
      <c r="M277" s="1186">
        <v>7.6</v>
      </c>
      <c r="N277" s="1186">
        <v>4.0999999999999996</v>
      </c>
      <c r="O277" s="1186">
        <v>6</v>
      </c>
      <c r="P277" s="1186">
        <v>4.7</v>
      </c>
      <c r="Q277" s="1186">
        <v>13.5</v>
      </c>
      <c r="R277" s="1186">
        <v>2.4</v>
      </c>
      <c r="S277" s="1186">
        <v>9.6999999999999993</v>
      </c>
      <c r="T277" s="1186">
        <v>3.3</v>
      </c>
      <c r="U277" s="1186">
        <v>8.9</v>
      </c>
      <c r="V277" s="1186">
        <v>3.6</v>
      </c>
      <c r="W277" s="1186"/>
      <c r="X277" s="1186"/>
      <c r="Y277" s="1186"/>
      <c r="Z277" s="1186"/>
      <c r="AA277" s="1186"/>
      <c r="AB277" s="1186"/>
      <c r="AC277" s="1186"/>
      <c r="AD277" s="1187"/>
    </row>
    <row r="278" spans="1:30" x14ac:dyDescent="0.2">
      <c r="A278">
        <f t="shared" si="38"/>
        <v>8</v>
      </c>
      <c r="B278">
        <v>269</v>
      </c>
      <c r="C278" s="1078">
        <v>2</v>
      </c>
      <c r="D278" s="1077" t="s">
        <v>3597</v>
      </c>
      <c r="E278" s="1077" t="s">
        <v>4830</v>
      </c>
      <c r="F278" s="1185">
        <v>4</v>
      </c>
      <c r="G278" s="1186">
        <v>11.1</v>
      </c>
      <c r="H278" s="1186">
        <v>2.6</v>
      </c>
      <c r="I278" s="1186">
        <v>9.8000000000000007</v>
      </c>
      <c r="J278" s="1186">
        <v>3.5</v>
      </c>
      <c r="K278" s="1186">
        <v>7.6</v>
      </c>
      <c r="L278" s="1186">
        <v>4.0999999999999996</v>
      </c>
      <c r="M278" s="1186">
        <v>6.5</v>
      </c>
      <c r="N278" s="1186">
        <v>4.5</v>
      </c>
      <c r="O278" s="1186">
        <v>6</v>
      </c>
      <c r="P278" s="1186">
        <v>4.7</v>
      </c>
      <c r="Q278" s="1186">
        <v>9.5</v>
      </c>
      <c r="R278" s="1186">
        <v>2.8</v>
      </c>
      <c r="S278" s="1186">
        <v>8.1999999999999993</v>
      </c>
      <c r="T278" s="1186">
        <v>3.5</v>
      </c>
      <c r="U278" s="1186">
        <v>7.4</v>
      </c>
      <c r="V278" s="1186">
        <v>3.7</v>
      </c>
      <c r="W278" s="1186"/>
      <c r="X278" s="1186"/>
      <c r="Y278" s="1186"/>
      <c r="Z278" s="1186"/>
      <c r="AA278" s="1186"/>
      <c r="AB278" s="1186"/>
      <c r="AC278" s="1186"/>
      <c r="AD278" s="1187"/>
    </row>
    <row r="279" spans="1:30" x14ac:dyDescent="0.2">
      <c r="A279">
        <f t="shared" si="38"/>
        <v>8</v>
      </c>
      <c r="B279">
        <v>270</v>
      </c>
      <c r="C279" s="1078">
        <v>2</v>
      </c>
      <c r="D279" s="1077" t="s">
        <v>3597</v>
      </c>
      <c r="E279" s="1077" t="s">
        <v>4831</v>
      </c>
      <c r="F279" s="1185">
        <v>4</v>
      </c>
      <c r="G279" s="1186">
        <v>11.1</v>
      </c>
      <c r="H279" s="1186">
        <v>2.6</v>
      </c>
      <c r="I279" s="1186">
        <v>13.9</v>
      </c>
      <c r="J279" s="1186">
        <v>3.2</v>
      </c>
      <c r="K279" s="1186">
        <v>10.199999999999999</v>
      </c>
      <c r="L279" s="1186">
        <v>3.9</v>
      </c>
      <c r="M279" s="1186">
        <v>7.6</v>
      </c>
      <c r="N279" s="1186">
        <v>4.0999999999999996</v>
      </c>
      <c r="O279" s="1186">
        <v>6</v>
      </c>
      <c r="P279" s="1186">
        <v>4.7</v>
      </c>
      <c r="Q279" s="1186">
        <v>13.5</v>
      </c>
      <c r="R279" s="1186">
        <v>2.4</v>
      </c>
      <c r="S279" s="1186">
        <v>9.6999999999999993</v>
      </c>
      <c r="T279" s="1186">
        <v>3.3</v>
      </c>
      <c r="U279" s="1186">
        <v>8.9</v>
      </c>
      <c r="V279" s="1186">
        <v>3.6</v>
      </c>
      <c r="W279" s="1186"/>
      <c r="X279" s="1186"/>
      <c r="Y279" s="1186"/>
      <c r="Z279" s="1186"/>
      <c r="AA279" s="1186"/>
      <c r="AB279" s="1186"/>
      <c r="AC279" s="1186"/>
      <c r="AD279" s="1187"/>
    </row>
    <row r="280" spans="1:30" x14ac:dyDescent="0.2">
      <c r="A280">
        <f t="shared" si="38"/>
        <v>8</v>
      </c>
      <c r="B280">
        <v>271</v>
      </c>
      <c r="C280" s="1078">
        <v>2</v>
      </c>
      <c r="D280" s="1077" t="s">
        <v>3597</v>
      </c>
      <c r="E280" s="1077" t="s">
        <v>4832</v>
      </c>
      <c r="F280" s="1185">
        <v>4</v>
      </c>
      <c r="G280" s="1186">
        <v>11.1</v>
      </c>
      <c r="H280" s="1186">
        <v>2.6</v>
      </c>
      <c r="I280" s="1186">
        <v>9.8000000000000007</v>
      </c>
      <c r="J280" s="1186">
        <v>3.5</v>
      </c>
      <c r="K280" s="1186">
        <v>7.6</v>
      </c>
      <c r="L280" s="1186">
        <v>4.0999999999999996</v>
      </c>
      <c r="M280" s="1186">
        <v>6.5</v>
      </c>
      <c r="N280" s="1186">
        <v>4.5</v>
      </c>
      <c r="O280" s="1186">
        <v>6</v>
      </c>
      <c r="P280" s="1186">
        <v>4.7</v>
      </c>
      <c r="Q280" s="1186">
        <v>9.5</v>
      </c>
      <c r="R280" s="1186">
        <v>2.8</v>
      </c>
      <c r="S280" s="1186">
        <v>8.1999999999999993</v>
      </c>
      <c r="T280" s="1186">
        <v>3.5</v>
      </c>
      <c r="U280" s="1186">
        <v>7.4</v>
      </c>
      <c r="V280" s="1186">
        <v>3.7</v>
      </c>
      <c r="W280" s="1186"/>
      <c r="X280" s="1186"/>
      <c r="Y280" s="1186"/>
      <c r="Z280" s="1186"/>
      <c r="AA280" s="1186"/>
      <c r="AB280" s="1186"/>
      <c r="AC280" s="1186"/>
      <c r="AD280" s="1187"/>
    </row>
    <row r="281" spans="1:30" x14ac:dyDescent="0.2">
      <c r="A281">
        <f t="shared" si="38"/>
        <v>8</v>
      </c>
      <c r="B281">
        <v>272</v>
      </c>
      <c r="C281" s="1081">
        <v>2</v>
      </c>
      <c r="D281" s="1082" t="s">
        <v>3597</v>
      </c>
      <c r="E281" s="1082" t="s">
        <v>4833</v>
      </c>
      <c r="F281" s="1188">
        <v>4</v>
      </c>
      <c r="G281" s="1189">
        <v>4.82</v>
      </c>
      <c r="H281" s="1189">
        <v>2.5099999999999998</v>
      </c>
      <c r="I281" s="1189">
        <v>5.52</v>
      </c>
      <c r="J281" s="1189">
        <v>2.79</v>
      </c>
      <c r="K281" s="1189">
        <v>5.2</v>
      </c>
      <c r="L281" s="1189">
        <v>3.79</v>
      </c>
      <c r="M281" s="1189">
        <v>4.05</v>
      </c>
      <c r="N281" s="1189">
        <v>4.13</v>
      </c>
      <c r="O281" s="1189">
        <v>2.63</v>
      </c>
      <c r="P281" s="1189">
        <v>3.7</v>
      </c>
      <c r="Q281" s="1189">
        <v>4.9000000000000004</v>
      </c>
      <c r="R281" s="1189">
        <v>2</v>
      </c>
      <c r="S281" s="1189">
        <v>3.7</v>
      </c>
      <c r="T281" s="1189">
        <v>2.5</v>
      </c>
      <c r="U281" s="1189">
        <v>3.1</v>
      </c>
      <c r="V281" s="1189">
        <v>2.7</v>
      </c>
      <c r="W281" s="1189"/>
      <c r="X281" s="1189"/>
      <c r="Y281" s="1189"/>
      <c r="Z281" s="1189"/>
      <c r="AA281" s="1189"/>
      <c r="AB281" s="1189"/>
      <c r="AC281" s="1189"/>
      <c r="AD281" s="1194"/>
    </row>
    <row r="282" spans="1:30" x14ac:dyDescent="0.2">
      <c r="A282">
        <f t="shared" si="38"/>
        <v>8</v>
      </c>
      <c r="B282">
        <v>273</v>
      </c>
      <c r="C282" s="1190">
        <v>2</v>
      </c>
      <c r="D282" s="1191" t="s">
        <v>3597</v>
      </c>
      <c r="E282" s="1191" t="s">
        <v>4834</v>
      </c>
      <c r="F282" s="1192">
        <v>4</v>
      </c>
      <c r="G282" s="1193">
        <v>4.82</v>
      </c>
      <c r="H282" s="1193">
        <v>2.5099999999999998</v>
      </c>
      <c r="I282" s="1193">
        <v>4.3600000000000003</v>
      </c>
      <c r="J282" s="1193">
        <v>3.27</v>
      </c>
      <c r="K282" s="1193">
        <v>4.05</v>
      </c>
      <c r="L282" s="1193">
        <v>4.13</v>
      </c>
      <c r="M282" s="1193">
        <v>3.2</v>
      </c>
      <c r="N282" s="1193">
        <v>4</v>
      </c>
      <c r="O282" s="1193">
        <v>2.63</v>
      </c>
      <c r="P282" s="1193">
        <v>3.7</v>
      </c>
      <c r="Q282" s="1193">
        <v>3.7</v>
      </c>
      <c r="R282" s="1193">
        <v>1.9</v>
      </c>
      <c r="S282" s="1193">
        <v>3.1</v>
      </c>
      <c r="T282" s="1193">
        <v>2.4</v>
      </c>
      <c r="U282" s="1193">
        <v>2.5</v>
      </c>
      <c r="V282" s="1193">
        <v>2.5</v>
      </c>
      <c r="W282" s="1193"/>
      <c r="X282" s="1193"/>
      <c r="Y282" s="1193"/>
      <c r="Z282" s="1193"/>
      <c r="AA282" s="1193"/>
      <c r="AB282" s="1193"/>
      <c r="AC282" s="1193"/>
      <c r="AD282" s="1195"/>
    </row>
    <row r="283" spans="1:30" x14ac:dyDescent="0.2">
      <c r="A283">
        <f t="shared" si="38"/>
        <v>8</v>
      </c>
      <c r="B283">
        <v>274</v>
      </c>
      <c r="C283" s="1078">
        <v>2</v>
      </c>
      <c r="D283" s="1077" t="s">
        <v>3597</v>
      </c>
      <c r="E283" s="1077" t="s">
        <v>4835</v>
      </c>
      <c r="F283" s="1185">
        <v>4</v>
      </c>
      <c r="G283" s="1186">
        <v>7.22</v>
      </c>
      <c r="H283" s="1186">
        <v>2.14</v>
      </c>
      <c r="I283" s="1186">
        <v>8.7100000000000009</v>
      </c>
      <c r="J283" s="1186">
        <v>2.44</v>
      </c>
      <c r="K283" s="1186">
        <v>8.0299999999999994</v>
      </c>
      <c r="L283" s="1186">
        <v>3.36</v>
      </c>
      <c r="M283" s="1186">
        <v>6.53</v>
      </c>
      <c r="N283" s="1186">
        <v>3.96</v>
      </c>
      <c r="O283" s="1186">
        <v>4.88</v>
      </c>
      <c r="P283" s="1186">
        <v>3.94</v>
      </c>
      <c r="Q283" s="1186">
        <v>8.5</v>
      </c>
      <c r="R283" s="1186">
        <v>2.1</v>
      </c>
      <c r="S283" s="1186">
        <v>7</v>
      </c>
      <c r="T283" s="1186">
        <v>2.9</v>
      </c>
      <c r="U283" s="1186">
        <v>6.2</v>
      </c>
      <c r="V283" s="1186">
        <v>3.1</v>
      </c>
      <c r="W283" s="1186"/>
      <c r="X283" s="1186"/>
      <c r="Y283" s="1186"/>
      <c r="Z283" s="1186"/>
      <c r="AA283" s="1186"/>
      <c r="AB283" s="1186"/>
      <c r="AC283" s="1186"/>
      <c r="AD283" s="1187"/>
    </row>
    <row r="284" spans="1:30" x14ac:dyDescent="0.2">
      <c r="A284">
        <f t="shared" si="38"/>
        <v>8</v>
      </c>
      <c r="B284">
        <v>275</v>
      </c>
      <c r="C284" s="1078">
        <v>2</v>
      </c>
      <c r="D284" s="1077" t="s">
        <v>3597</v>
      </c>
      <c r="E284" s="1077" t="s">
        <v>4836</v>
      </c>
      <c r="F284" s="1185">
        <v>4</v>
      </c>
      <c r="G284" s="1186">
        <v>7.22</v>
      </c>
      <c r="H284" s="1186">
        <v>2.14</v>
      </c>
      <c r="I284" s="1186">
        <v>7.01</v>
      </c>
      <c r="J284" s="1186">
        <v>3.02</v>
      </c>
      <c r="K284" s="1186">
        <v>6.53</v>
      </c>
      <c r="L284" s="1186">
        <v>3.96</v>
      </c>
      <c r="M284" s="1186">
        <v>5.8</v>
      </c>
      <c r="N284" s="1186">
        <v>4.8</v>
      </c>
      <c r="O284" s="1186">
        <v>4.88</v>
      </c>
      <c r="P284" s="1186">
        <v>3.94</v>
      </c>
      <c r="Q284" s="1186">
        <v>6.8</v>
      </c>
      <c r="R284" s="1186">
        <v>2.2000000000000002</v>
      </c>
      <c r="S284" s="1186">
        <v>6.2</v>
      </c>
      <c r="T284" s="1186">
        <v>3</v>
      </c>
      <c r="U284" s="1186">
        <v>5.4</v>
      </c>
      <c r="V284" s="1186">
        <v>3.1</v>
      </c>
      <c r="W284" s="1186"/>
      <c r="X284" s="1186"/>
      <c r="Y284" s="1186"/>
      <c r="Z284" s="1186"/>
      <c r="AA284" s="1186"/>
      <c r="AB284" s="1186"/>
      <c r="AC284" s="1186"/>
      <c r="AD284" s="1187"/>
    </row>
    <row r="285" spans="1:30" x14ac:dyDescent="0.2">
      <c r="A285">
        <f t="shared" si="38"/>
        <v>8</v>
      </c>
      <c r="B285">
        <v>276</v>
      </c>
      <c r="C285" s="1078">
        <v>2</v>
      </c>
      <c r="D285" s="1077" t="s">
        <v>3597</v>
      </c>
      <c r="E285" s="1077" t="s">
        <v>4837</v>
      </c>
      <c r="F285" s="1185">
        <v>4</v>
      </c>
      <c r="G285" s="1186">
        <v>11.1</v>
      </c>
      <c r="H285" s="1186">
        <v>2.6</v>
      </c>
      <c r="I285" s="1186">
        <v>13.9</v>
      </c>
      <c r="J285" s="1186">
        <v>3.2</v>
      </c>
      <c r="K285" s="1186">
        <v>10.199999999999999</v>
      </c>
      <c r="L285" s="1186">
        <v>3.9</v>
      </c>
      <c r="M285" s="1186">
        <v>7.6</v>
      </c>
      <c r="N285" s="1186">
        <v>4.0999999999999996</v>
      </c>
      <c r="O285" s="1186">
        <v>6</v>
      </c>
      <c r="P285" s="1186">
        <v>4.7</v>
      </c>
      <c r="Q285" s="1186">
        <v>13.5</v>
      </c>
      <c r="R285" s="1186">
        <v>2.4</v>
      </c>
      <c r="S285" s="1186">
        <v>9.6999999999999993</v>
      </c>
      <c r="T285" s="1186">
        <v>3.3</v>
      </c>
      <c r="U285" s="1186">
        <v>8.9</v>
      </c>
      <c r="V285" s="1186">
        <v>3.6</v>
      </c>
      <c r="W285" s="1186"/>
      <c r="X285" s="1186"/>
      <c r="Y285" s="1186"/>
      <c r="Z285" s="1186"/>
      <c r="AA285" s="1186"/>
      <c r="AB285" s="1186"/>
      <c r="AC285" s="1186"/>
      <c r="AD285" s="1187"/>
    </row>
    <row r="286" spans="1:30" x14ac:dyDescent="0.2">
      <c r="A286">
        <f t="shared" si="38"/>
        <v>8</v>
      </c>
      <c r="B286">
        <v>277</v>
      </c>
      <c r="C286" s="1078">
        <v>2</v>
      </c>
      <c r="D286" s="1077" t="s">
        <v>3597</v>
      </c>
      <c r="E286" s="1077" t="s">
        <v>4838</v>
      </c>
      <c r="F286" s="1185">
        <v>4</v>
      </c>
      <c r="G286" s="1186">
        <v>11.1</v>
      </c>
      <c r="H286" s="1186">
        <v>2.6</v>
      </c>
      <c r="I286" s="1186">
        <v>9.8000000000000007</v>
      </c>
      <c r="J286" s="1186">
        <v>3.5</v>
      </c>
      <c r="K286" s="1186">
        <v>7.6</v>
      </c>
      <c r="L286" s="1186">
        <v>4.0999999999999996</v>
      </c>
      <c r="M286" s="1186">
        <v>6.5</v>
      </c>
      <c r="N286" s="1186">
        <v>4.5</v>
      </c>
      <c r="O286" s="1186">
        <v>6</v>
      </c>
      <c r="P286" s="1186">
        <v>4.7</v>
      </c>
      <c r="Q286" s="1186">
        <v>9.5</v>
      </c>
      <c r="R286" s="1186">
        <v>2.8</v>
      </c>
      <c r="S286" s="1186">
        <v>8.1999999999999993</v>
      </c>
      <c r="T286" s="1186">
        <v>3.5</v>
      </c>
      <c r="U286" s="1186">
        <v>7.4</v>
      </c>
      <c r="V286" s="1186">
        <v>3.7</v>
      </c>
      <c r="W286" s="1186"/>
      <c r="X286" s="1186"/>
      <c r="Y286" s="1186"/>
      <c r="Z286" s="1186"/>
      <c r="AA286" s="1186"/>
      <c r="AB286" s="1186"/>
      <c r="AC286" s="1186"/>
      <c r="AD286" s="1187"/>
    </row>
    <row r="287" spans="1:30" x14ac:dyDescent="0.2">
      <c r="A287">
        <f t="shared" si="38"/>
        <v>8</v>
      </c>
      <c r="B287">
        <v>278</v>
      </c>
      <c r="C287" s="1078">
        <v>2</v>
      </c>
      <c r="D287" s="1077" t="s">
        <v>3597</v>
      </c>
      <c r="E287" s="1077" t="s">
        <v>4839</v>
      </c>
      <c r="F287" s="1185">
        <v>4</v>
      </c>
      <c r="G287" s="1186">
        <v>6.26</v>
      </c>
      <c r="H287" s="1186">
        <v>2.52</v>
      </c>
      <c r="I287" s="1186">
        <v>7.14</v>
      </c>
      <c r="J287" s="1186">
        <v>2.86</v>
      </c>
      <c r="K287" s="1186">
        <v>6.2</v>
      </c>
      <c r="L287" s="1186">
        <v>3.69</v>
      </c>
      <c r="M287" s="1186">
        <v>4.5</v>
      </c>
      <c r="N287" s="1186">
        <v>4.4000000000000004</v>
      </c>
      <c r="O287" s="1186">
        <v>4.6100000000000003</v>
      </c>
      <c r="P287" s="1186">
        <v>6.84</v>
      </c>
      <c r="Q287" s="1186">
        <v>6.5</v>
      </c>
      <c r="R287" s="1186">
        <v>2.1</v>
      </c>
      <c r="S287" s="1186">
        <v>4</v>
      </c>
      <c r="T287" s="1186">
        <v>3.2</v>
      </c>
      <c r="U287" s="1186">
        <v>3.8</v>
      </c>
      <c r="V287" s="1186">
        <v>3.8</v>
      </c>
      <c r="W287" s="1186"/>
      <c r="X287" s="1186"/>
      <c r="Y287" s="1186"/>
      <c r="Z287" s="1186"/>
      <c r="AA287" s="1186"/>
      <c r="AB287" s="1186"/>
      <c r="AC287" s="1186"/>
      <c r="AD287" s="1187"/>
    </row>
    <row r="288" spans="1:30" x14ac:dyDescent="0.2">
      <c r="A288">
        <f t="shared" si="38"/>
        <v>8</v>
      </c>
      <c r="B288">
        <v>279</v>
      </c>
      <c r="C288" s="1078">
        <v>2</v>
      </c>
      <c r="D288" s="1077" t="s">
        <v>3597</v>
      </c>
      <c r="E288" s="1077" t="s">
        <v>4840</v>
      </c>
      <c r="F288" s="1185">
        <v>4</v>
      </c>
      <c r="G288" s="1186">
        <v>6.26</v>
      </c>
      <c r="H288" s="1186">
        <v>2.52</v>
      </c>
      <c r="I288" s="1186">
        <v>5.09</v>
      </c>
      <c r="J288" s="1186">
        <v>2.99</v>
      </c>
      <c r="K288" s="1186">
        <v>4.57</v>
      </c>
      <c r="L288" s="1186">
        <v>3.83</v>
      </c>
      <c r="M288" s="1186">
        <v>3.3</v>
      </c>
      <c r="N288" s="1186">
        <v>4.7</v>
      </c>
      <c r="O288" s="1186">
        <v>4.6100000000000003</v>
      </c>
      <c r="P288" s="1186">
        <v>6.84</v>
      </c>
      <c r="Q288" s="1186">
        <v>5</v>
      </c>
      <c r="R288" s="1186">
        <v>2.1</v>
      </c>
      <c r="S288" s="1186">
        <v>3.2</v>
      </c>
      <c r="T288" s="1186">
        <v>3.2</v>
      </c>
      <c r="U288" s="1186">
        <v>3.1</v>
      </c>
      <c r="V288" s="1186">
        <v>4</v>
      </c>
      <c r="W288" s="1186"/>
      <c r="X288" s="1186"/>
      <c r="Y288" s="1186"/>
      <c r="Z288" s="1186"/>
      <c r="AA288" s="1186"/>
      <c r="AB288" s="1186"/>
      <c r="AC288" s="1186"/>
      <c r="AD288" s="1187"/>
    </row>
    <row r="289" spans="1:30" x14ac:dyDescent="0.2">
      <c r="A289">
        <f t="shared" si="38"/>
        <v>8</v>
      </c>
      <c r="B289">
        <v>280</v>
      </c>
      <c r="C289" s="1078">
        <v>2</v>
      </c>
      <c r="D289" s="1077" t="s">
        <v>3597</v>
      </c>
      <c r="E289" s="1077" t="s">
        <v>4841</v>
      </c>
      <c r="F289" s="1185">
        <v>4</v>
      </c>
      <c r="G289" s="1186">
        <v>10.1</v>
      </c>
      <c r="H289" s="1186">
        <v>2.2000000000000002</v>
      </c>
      <c r="I289" s="1186">
        <v>12.6</v>
      </c>
      <c r="J289" s="1186">
        <v>2.6</v>
      </c>
      <c r="K289" s="1186">
        <v>11.11</v>
      </c>
      <c r="L289" s="1186">
        <v>3.48</v>
      </c>
      <c r="M289" s="1186">
        <v>10.199999999999999</v>
      </c>
      <c r="N289" s="1186">
        <v>4.5</v>
      </c>
      <c r="O289" s="1186">
        <v>9.9499999999999993</v>
      </c>
      <c r="P289" s="1186">
        <v>7.43</v>
      </c>
      <c r="Q289" s="1186">
        <v>12</v>
      </c>
      <c r="R289" s="1186">
        <v>1.8</v>
      </c>
      <c r="S289" s="1186">
        <v>10.3</v>
      </c>
      <c r="T289" s="1186">
        <v>3.1</v>
      </c>
      <c r="U289" s="1186">
        <v>11.8</v>
      </c>
      <c r="V289" s="1186">
        <v>4.0999999999999996</v>
      </c>
      <c r="W289" s="1186"/>
      <c r="X289" s="1186"/>
      <c r="Y289" s="1186"/>
      <c r="Z289" s="1186"/>
      <c r="AA289" s="1186"/>
      <c r="AB289" s="1186"/>
      <c r="AC289" s="1186"/>
      <c r="AD289" s="1187"/>
    </row>
    <row r="290" spans="1:30" x14ac:dyDescent="0.2">
      <c r="A290">
        <f t="shared" si="38"/>
        <v>8</v>
      </c>
      <c r="B290">
        <v>281</v>
      </c>
      <c r="C290" s="1078">
        <v>2</v>
      </c>
      <c r="D290" s="1077" t="s">
        <v>3597</v>
      </c>
      <c r="E290" s="1077" t="s">
        <v>4842</v>
      </c>
      <c r="F290" s="1185">
        <v>4</v>
      </c>
      <c r="G290" s="1186">
        <v>10.1</v>
      </c>
      <c r="H290" s="1186">
        <v>2.2000000000000002</v>
      </c>
      <c r="I290" s="1186">
        <v>9.41</v>
      </c>
      <c r="J290" s="1186">
        <v>2.9</v>
      </c>
      <c r="K290" s="1186">
        <v>8.27</v>
      </c>
      <c r="L290" s="1186">
        <v>3.78</v>
      </c>
      <c r="M290" s="1186">
        <v>7.8</v>
      </c>
      <c r="N290" s="1186">
        <v>4.95</v>
      </c>
      <c r="O290" s="1186">
        <v>9.9499999999999993</v>
      </c>
      <c r="P290" s="1186">
        <v>7.43</v>
      </c>
      <c r="Q290" s="1186">
        <v>9</v>
      </c>
      <c r="R290" s="1186">
        <v>2</v>
      </c>
      <c r="S290" s="1186">
        <v>8.5</v>
      </c>
      <c r="T290" s="1186">
        <v>3.2</v>
      </c>
      <c r="U290" s="1186">
        <v>9.3000000000000007</v>
      </c>
      <c r="V290" s="1186">
        <v>4.1500000000000004</v>
      </c>
      <c r="W290" s="1186"/>
      <c r="X290" s="1186"/>
      <c r="Y290" s="1186"/>
      <c r="Z290" s="1186"/>
      <c r="AA290" s="1186"/>
      <c r="AB290" s="1186"/>
      <c r="AC290" s="1186"/>
      <c r="AD290" s="1187"/>
    </row>
    <row r="291" spans="1:30" x14ac:dyDescent="0.2">
      <c r="A291">
        <f t="shared" si="38"/>
        <v>8</v>
      </c>
      <c r="B291">
        <v>282</v>
      </c>
      <c r="C291" s="1078">
        <v>2</v>
      </c>
      <c r="D291" s="1077" t="s">
        <v>3597</v>
      </c>
      <c r="E291" s="1077" t="s">
        <v>4016</v>
      </c>
      <c r="F291" s="1185">
        <v>1</v>
      </c>
      <c r="G291" s="1186">
        <v>8.8000000000000007</v>
      </c>
      <c r="H291" s="1186">
        <v>2.6</v>
      </c>
      <c r="I291" s="1186">
        <v>10.8</v>
      </c>
      <c r="J291" s="1186">
        <v>3</v>
      </c>
      <c r="K291" s="1186">
        <v>13.8</v>
      </c>
      <c r="L291" s="1186">
        <v>3.7</v>
      </c>
      <c r="M291" s="1186">
        <v>14.4</v>
      </c>
      <c r="N291" s="1186">
        <v>4.3</v>
      </c>
      <c r="O291" s="1186">
        <v>21.9</v>
      </c>
      <c r="P291" s="1186">
        <v>5.5</v>
      </c>
      <c r="Q291" s="1186">
        <v>10.4</v>
      </c>
      <c r="R291" s="1186">
        <v>2.1</v>
      </c>
      <c r="S291" s="1186">
        <v>13.7</v>
      </c>
      <c r="T291" s="1186">
        <v>2.9</v>
      </c>
      <c r="U291" s="1186">
        <v>20.8</v>
      </c>
      <c r="V291" s="1186">
        <v>3.5</v>
      </c>
      <c r="W291" s="1186"/>
      <c r="X291" s="1186"/>
      <c r="Y291" s="1186"/>
      <c r="Z291" s="1186"/>
      <c r="AA291" s="1186"/>
      <c r="AB291" s="1186"/>
      <c r="AC291" s="1186"/>
      <c r="AD291" s="1187"/>
    </row>
    <row r="292" spans="1:30" x14ac:dyDescent="0.2">
      <c r="A292">
        <f t="shared" si="38"/>
        <v>8</v>
      </c>
      <c r="B292">
        <v>283</v>
      </c>
      <c r="C292" s="1078">
        <v>2</v>
      </c>
      <c r="D292" s="1077" t="s">
        <v>3597</v>
      </c>
      <c r="E292" s="1077" t="s">
        <v>4017</v>
      </c>
      <c r="F292" s="1185">
        <v>2</v>
      </c>
      <c r="G292" s="1186">
        <v>11</v>
      </c>
      <c r="H292" s="1186">
        <v>2.4</v>
      </c>
      <c r="I292" s="1186">
        <v>14.1</v>
      </c>
      <c r="J292" s="1186">
        <v>2.8</v>
      </c>
      <c r="K292" s="1186">
        <v>9.5</v>
      </c>
      <c r="L292" s="1186">
        <v>3.8</v>
      </c>
      <c r="M292" s="1186">
        <v>10.1</v>
      </c>
      <c r="N292" s="1186">
        <v>4.2</v>
      </c>
      <c r="O292" s="1186">
        <v>16.600000000000001</v>
      </c>
      <c r="P292" s="1186">
        <v>5.4</v>
      </c>
      <c r="Q292" s="1186">
        <v>12.6</v>
      </c>
      <c r="R292" s="1186">
        <v>1.8</v>
      </c>
      <c r="S292" s="1186">
        <v>10.1</v>
      </c>
      <c r="T292" s="1186">
        <v>2.8</v>
      </c>
      <c r="U292" s="1186">
        <v>16.100000000000001</v>
      </c>
      <c r="V292" s="1186">
        <v>3.8</v>
      </c>
      <c r="W292" s="1186"/>
      <c r="X292" s="1186"/>
      <c r="Y292" s="1186"/>
      <c r="Z292" s="1186"/>
      <c r="AA292" s="1186"/>
      <c r="AB292" s="1186"/>
      <c r="AC292" s="1186"/>
      <c r="AD292" s="1187"/>
    </row>
    <row r="293" spans="1:30" x14ac:dyDescent="0.2">
      <c r="A293">
        <f t="shared" si="38"/>
        <v>8</v>
      </c>
      <c r="B293">
        <v>284</v>
      </c>
      <c r="C293" s="1078">
        <v>2</v>
      </c>
      <c r="D293" s="1077" t="s">
        <v>3597</v>
      </c>
      <c r="E293" s="1077" t="s">
        <v>4018</v>
      </c>
      <c r="F293" s="1185">
        <v>2</v>
      </c>
      <c r="G293" s="1186">
        <v>15.8</v>
      </c>
      <c r="H293" s="1186">
        <v>2.4</v>
      </c>
      <c r="I293" s="1186">
        <v>19.399999999999999</v>
      </c>
      <c r="J293" s="1186">
        <v>2.8</v>
      </c>
      <c r="K293" s="1186">
        <v>13.2</v>
      </c>
      <c r="L293" s="1186">
        <v>3.8</v>
      </c>
      <c r="M293" s="1186">
        <v>14.1</v>
      </c>
      <c r="N293" s="1186">
        <v>4.2</v>
      </c>
      <c r="O293" s="1186">
        <v>24.2</v>
      </c>
      <c r="P293" s="1186">
        <v>6</v>
      </c>
      <c r="Q293" s="1186">
        <v>19.100000000000001</v>
      </c>
      <c r="R293" s="1186">
        <v>2</v>
      </c>
      <c r="S293" s="1186">
        <v>14.2</v>
      </c>
      <c r="T293" s="1186">
        <v>2.8</v>
      </c>
      <c r="U293" s="1186">
        <v>23.7</v>
      </c>
      <c r="V293" s="1186">
        <v>3.7</v>
      </c>
      <c r="W293" s="1186"/>
      <c r="X293" s="1186"/>
      <c r="Y293" s="1186"/>
      <c r="Z293" s="1186"/>
      <c r="AA293" s="1186"/>
      <c r="AB293" s="1186"/>
      <c r="AC293" s="1186"/>
      <c r="AD293" s="1187"/>
    </row>
    <row r="294" spans="1:30" x14ac:dyDescent="0.2">
      <c r="A294">
        <f t="shared" si="38"/>
        <v>8</v>
      </c>
      <c r="B294">
        <v>285</v>
      </c>
      <c r="C294" s="1078">
        <v>2</v>
      </c>
      <c r="D294" s="1077" t="s">
        <v>3597</v>
      </c>
      <c r="E294" s="1077" t="s">
        <v>4843</v>
      </c>
      <c r="F294" s="1185">
        <v>2</v>
      </c>
      <c r="G294" s="1186">
        <v>19.2</v>
      </c>
      <c r="H294" s="1186">
        <v>2.2999999999999998</v>
      </c>
      <c r="I294" s="1186">
        <v>24.3</v>
      </c>
      <c r="J294" s="1186">
        <v>2.77</v>
      </c>
      <c r="K294" s="1186">
        <v>17</v>
      </c>
      <c r="L294" s="1186">
        <v>3.52</v>
      </c>
      <c r="M294" s="1186">
        <v>19.8</v>
      </c>
      <c r="N294" s="1186">
        <v>4.04</v>
      </c>
      <c r="O294" s="1186">
        <v>26.1</v>
      </c>
      <c r="P294" s="1186">
        <v>5.6</v>
      </c>
      <c r="Q294" s="1186">
        <v>24.3</v>
      </c>
      <c r="R294" s="1186">
        <v>1.88</v>
      </c>
      <c r="S294" s="1186">
        <v>19</v>
      </c>
      <c r="T294" s="1186">
        <v>2.8</v>
      </c>
      <c r="U294" s="1186">
        <v>25</v>
      </c>
      <c r="V294" s="1186">
        <v>3.8</v>
      </c>
      <c r="W294" s="1186"/>
      <c r="X294" s="1186"/>
      <c r="Y294" s="1186"/>
      <c r="Z294" s="1186"/>
      <c r="AA294" s="1186"/>
      <c r="AB294" s="1186"/>
      <c r="AC294" s="1186"/>
      <c r="AD294" s="1187"/>
    </row>
    <row r="295" spans="1:30" x14ac:dyDescent="0.2">
      <c r="A295">
        <f t="shared" si="38"/>
        <v>8</v>
      </c>
      <c r="B295">
        <v>286</v>
      </c>
      <c r="C295" s="1078">
        <v>2</v>
      </c>
      <c r="D295" s="1077" t="s">
        <v>3597</v>
      </c>
      <c r="E295" s="1077" t="s">
        <v>4844</v>
      </c>
      <c r="F295" s="1185">
        <v>2</v>
      </c>
      <c r="G295" s="1186">
        <v>19.2</v>
      </c>
      <c r="H295" s="1186">
        <v>2.2999999999999998</v>
      </c>
      <c r="I295" s="1186">
        <v>24.3</v>
      </c>
      <c r="J295" s="1186">
        <v>2.77</v>
      </c>
      <c r="K295" s="1186">
        <v>17</v>
      </c>
      <c r="L295" s="1186">
        <v>3.52</v>
      </c>
      <c r="M295" s="1186">
        <v>19.8</v>
      </c>
      <c r="N295" s="1186">
        <v>4.04</v>
      </c>
      <c r="O295" s="1186">
        <v>26.1</v>
      </c>
      <c r="P295" s="1186">
        <v>5.6</v>
      </c>
      <c r="Q295" s="1186">
        <v>24.3</v>
      </c>
      <c r="R295" s="1186">
        <v>1.88</v>
      </c>
      <c r="S295" s="1186">
        <v>19</v>
      </c>
      <c r="T295" s="1186">
        <v>2.8</v>
      </c>
      <c r="U295" s="1186">
        <v>25</v>
      </c>
      <c r="V295" s="1186">
        <v>3.8</v>
      </c>
      <c r="W295" s="1186"/>
      <c r="X295" s="1186"/>
      <c r="Y295" s="1186"/>
      <c r="Z295" s="1186"/>
      <c r="AA295" s="1186"/>
      <c r="AB295" s="1186"/>
      <c r="AC295" s="1186"/>
      <c r="AD295" s="1187"/>
    </row>
    <row r="296" spans="1:30" x14ac:dyDescent="0.2">
      <c r="A296">
        <f t="shared" si="38"/>
        <v>8</v>
      </c>
      <c r="B296">
        <v>287</v>
      </c>
      <c r="C296" s="1078">
        <v>2</v>
      </c>
      <c r="D296" s="1077" t="s">
        <v>3597</v>
      </c>
      <c r="E296" s="1077" t="s">
        <v>4019</v>
      </c>
      <c r="F296" s="1185">
        <v>1</v>
      </c>
      <c r="G296" s="1186">
        <v>8.8000000000000007</v>
      </c>
      <c r="H296" s="1186">
        <v>2.6</v>
      </c>
      <c r="I296" s="1186">
        <v>10.8</v>
      </c>
      <c r="J296" s="1186">
        <v>3</v>
      </c>
      <c r="K296" s="1186">
        <v>13.8</v>
      </c>
      <c r="L296" s="1186">
        <v>3.7</v>
      </c>
      <c r="M296" s="1186">
        <v>14.4</v>
      </c>
      <c r="N296" s="1186">
        <v>4.3</v>
      </c>
      <c r="O296" s="1186">
        <v>21.9</v>
      </c>
      <c r="P296" s="1186">
        <v>5.5</v>
      </c>
      <c r="Q296" s="1186">
        <v>10.4</v>
      </c>
      <c r="R296" s="1186">
        <v>2.1</v>
      </c>
      <c r="S296" s="1186">
        <v>13.7</v>
      </c>
      <c r="T296" s="1186">
        <v>2.9</v>
      </c>
      <c r="U296" s="1186">
        <v>20.8</v>
      </c>
      <c r="V296" s="1186">
        <v>3.5</v>
      </c>
      <c r="W296" s="1186"/>
      <c r="X296" s="1186"/>
      <c r="Y296" s="1186"/>
      <c r="Z296" s="1186"/>
      <c r="AA296" s="1186"/>
      <c r="AB296" s="1186"/>
      <c r="AC296" s="1186"/>
      <c r="AD296" s="1187"/>
    </row>
    <row r="297" spans="1:30" x14ac:dyDescent="0.2">
      <c r="A297">
        <f t="shared" si="38"/>
        <v>8</v>
      </c>
      <c r="B297">
        <v>288</v>
      </c>
      <c r="C297" s="1078">
        <v>2</v>
      </c>
      <c r="D297" s="1077" t="s">
        <v>3597</v>
      </c>
      <c r="E297" s="1077" t="s">
        <v>4020</v>
      </c>
      <c r="F297" s="1185">
        <v>2</v>
      </c>
      <c r="G297" s="1186">
        <v>11</v>
      </c>
      <c r="H297" s="1186">
        <v>2.4</v>
      </c>
      <c r="I297" s="1186">
        <v>14.1</v>
      </c>
      <c r="J297" s="1186">
        <v>2.8</v>
      </c>
      <c r="K297" s="1186">
        <v>9.5</v>
      </c>
      <c r="L297" s="1186">
        <v>3.8</v>
      </c>
      <c r="M297" s="1186">
        <v>10.1</v>
      </c>
      <c r="N297" s="1186">
        <v>4.2</v>
      </c>
      <c r="O297" s="1186">
        <v>16.600000000000001</v>
      </c>
      <c r="P297" s="1186">
        <v>5.4</v>
      </c>
      <c r="Q297" s="1186">
        <v>12.6</v>
      </c>
      <c r="R297" s="1186">
        <v>1.8</v>
      </c>
      <c r="S297" s="1186">
        <v>10.1</v>
      </c>
      <c r="T297" s="1186">
        <v>2.8</v>
      </c>
      <c r="U297" s="1186">
        <v>16.100000000000001</v>
      </c>
      <c r="V297" s="1186">
        <v>3.8</v>
      </c>
      <c r="W297" s="1186"/>
      <c r="X297" s="1186"/>
      <c r="Y297" s="1186"/>
      <c r="Z297" s="1186"/>
      <c r="AA297" s="1186"/>
      <c r="AB297" s="1186"/>
      <c r="AC297" s="1186"/>
      <c r="AD297" s="1187"/>
    </row>
    <row r="298" spans="1:30" x14ac:dyDescent="0.2">
      <c r="A298">
        <f t="shared" si="38"/>
        <v>8</v>
      </c>
      <c r="B298">
        <v>289</v>
      </c>
      <c r="C298" s="1078">
        <v>2</v>
      </c>
      <c r="D298" s="1077" t="s">
        <v>3597</v>
      </c>
      <c r="E298" s="1077" t="s">
        <v>4021</v>
      </c>
      <c r="F298" s="1185">
        <v>2</v>
      </c>
      <c r="G298" s="1186">
        <v>15.8</v>
      </c>
      <c r="H298" s="1186">
        <v>2.4</v>
      </c>
      <c r="I298" s="1186">
        <v>19.399999999999999</v>
      </c>
      <c r="J298" s="1186">
        <v>2.8</v>
      </c>
      <c r="K298" s="1186">
        <v>13.2</v>
      </c>
      <c r="L298" s="1186">
        <v>3.8</v>
      </c>
      <c r="M298" s="1186">
        <v>14.1</v>
      </c>
      <c r="N298" s="1186">
        <v>4.2</v>
      </c>
      <c r="O298" s="1186">
        <v>24.2</v>
      </c>
      <c r="P298" s="1186">
        <v>6</v>
      </c>
      <c r="Q298" s="1186">
        <v>19.100000000000001</v>
      </c>
      <c r="R298" s="1186">
        <v>2</v>
      </c>
      <c r="S298" s="1186">
        <v>14.2</v>
      </c>
      <c r="T298" s="1186">
        <v>2.8</v>
      </c>
      <c r="U298" s="1186">
        <v>23.7</v>
      </c>
      <c r="V298" s="1186">
        <v>3.7</v>
      </c>
      <c r="W298" s="1186"/>
      <c r="X298" s="1186"/>
      <c r="Y298" s="1186"/>
      <c r="Z298" s="1186"/>
      <c r="AA298" s="1186"/>
      <c r="AB298" s="1186"/>
      <c r="AC298" s="1186"/>
      <c r="AD298" s="1187"/>
    </row>
    <row r="299" spans="1:30" x14ac:dyDescent="0.2">
      <c r="A299">
        <f t="shared" si="38"/>
        <v>8</v>
      </c>
      <c r="B299">
        <v>290</v>
      </c>
      <c r="C299" s="1078">
        <v>2</v>
      </c>
      <c r="D299" s="1077" t="s">
        <v>3597</v>
      </c>
      <c r="E299" s="1077" t="s">
        <v>4845</v>
      </c>
      <c r="F299" s="1185">
        <v>2</v>
      </c>
      <c r="G299" s="1186">
        <v>19.2</v>
      </c>
      <c r="H299" s="1186">
        <v>2.2999999999999998</v>
      </c>
      <c r="I299" s="1186">
        <v>24.3</v>
      </c>
      <c r="J299" s="1186">
        <v>2.77</v>
      </c>
      <c r="K299" s="1186">
        <v>17</v>
      </c>
      <c r="L299" s="1186">
        <v>3.52</v>
      </c>
      <c r="M299" s="1186">
        <v>19.8</v>
      </c>
      <c r="N299" s="1186">
        <v>4.04</v>
      </c>
      <c r="O299" s="1186">
        <v>26.1</v>
      </c>
      <c r="P299" s="1186">
        <v>5.6</v>
      </c>
      <c r="Q299" s="1186">
        <v>24.3</v>
      </c>
      <c r="R299" s="1186">
        <v>1.88</v>
      </c>
      <c r="S299" s="1186">
        <v>19</v>
      </c>
      <c r="T299" s="1186">
        <v>2.8</v>
      </c>
      <c r="U299" s="1186">
        <v>25</v>
      </c>
      <c r="V299" s="1186">
        <v>3.8</v>
      </c>
      <c r="W299" s="1186"/>
      <c r="X299" s="1186"/>
      <c r="Y299" s="1186"/>
      <c r="Z299" s="1186"/>
      <c r="AA299" s="1186"/>
      <c r="AB299" s="1186"/>
      <c r="AC299" s="1186"/>
      <c r="AD299" s="1187"/>
    </row>
    <row r="300" spans="1:30" x14ac:dyDescent="0.2">
      <c r="A300">
        <f t="shared" si="38"/>
        <v>8</v>
      </c>
      <c r="B300">
        <v>291</v>
      </c>
      <c r="C300" s="1078">
        <v>2</v>
      </c>
      <c r="D300" s="1077" t="s">
        <v>3597</v>
      </c>
      <c r="E300" s="1077" t="s">
        <v>4492</v>
      </c>
      <c r="F300" s="1185">
        <v>2</v>
      </c>
      <c r="G300" s="1186">
        <v>29.2</v>
      </c>
      <c r="H300" s="1186">
        <v>2.35</v>
      </c>
      <c r="I300" s="1186">
        <v>36.5</v>
      </c>
      <c r="J300" s="1186">
        <v>2.79</v>
      </c>
      <c r="K300" s="1186">
        <v>26.5</v>
      </c>
      <c r="L300" s="1186">
        <v>3.5</v>
      </c>
      <c r="M300" s="1186">
        <v>37.299999999999997</v>
      </c>
      <c r="N300" s="1186">
        <v>4.5</v>
      </c>
      <c r="O300" s="1186">
        <v>41.7</v>
      </c>
      <c r="P300" s="1186">
        <v>5.6</v>
      </c>
      <c r="Q300" s="1186">
        <v>36.200000000000003</v>
      </c>
      <c r="R300" s="1186">
        <v>2.2000000000000002</v>
      </c>
      <c r="S300" s="1186">
        <v>30.4</v>
      </c>
      <c r="T300" s="1186">
        <v>3.1</v>
      </c>
      <c r="U300" s="1186">
        <v>37.700000000000003</v>
      </c>
      <c r="V300" s="1186">
        <v>3.7</v>
      </c>
      <c r="W300" s="1186"/>
      <c r="X300" s="1186"/>
      <c r="Y300" s="1186"/>
      <c r="Z300" s="1186"/>
      <c r="AA300" s="1186"/>
      <c r="AB300" s="1186"/>
      <c r="AC300" s="1186"/>
      <c r="AD300" s="1187"/>
    </row>
    <row r="301" spans="1:30" x14ac:dyDescent="0.2">
      <c r="A301">
        <f t="shared" si="38"/>
        <v>8</v>
      </c>
      <c r="B301">
        <v>292</v>
      </c>
      <c r="C301" s="1078">
        <v>2</v>
      </c>
      <c r="D301" s="1077" t="s">
        <v>3597</v>
      </c>
      <c r="E301" s="1077" t="s">
        <v>4022</v>
      </c>
      <c r="F301" s="1185">
        <v>1</v>
      </c>
      <c r="G301" s="1186">
        <v>3.6</v>
      </c>
      <c r="H301" s="1186">
        <v>2.6</v>
      </c>
      <c r="I301" s="1186">
        <v>4.5999999999999996</v>
      </c>
      <c r="J301" s="1186">
        <v>3.2</v>
      </c>
      <c r="K301" s="1186">
        <v>5.6</v>
      </c>
      <c r="L301" s="1186">
        <v>3.8</v>
      </c>
      <c r="M301" s="1186">
        <v>7.1</v>
      </c>
      <c r="N301" s="1186">
        <v>4.8</v>
      </c>
      <c r="O301" s="1186">
        <v>8.8000000000000007</v>
      </c>
      <c r="P301" s="1186">
        <v>6</v>
      </c>
      <c r="Q301" s="1186">
        <v>3.8</v>
      </c>
      <c r="R301" s="1186">
        <v>1.8</v>
      </c>
      <c r="S301" s="1186">
        <v>6.4</v>
      </c>
      <c r="T301" s="1186">
        <v>3.1</v>
      </c>
      <c r="U301" s="1186">
        <v>8</v>
      </c>
      <c r="V301" s="1186">
        <v>4.0999999999999996</v>
      </c>
      <c r="W301" s="1186"/>
      <c r="X301" s="1186"/>
      <c r="Y301" s="1186"/>
      <c r="Z301" s="1186"/>
      <c r="AA301" s="1186"/>
      <c r="AB301" s="1186"/>
      <c r="AC301" s="1186"/>
      <c r="AD301" s="1187"/>
    </row>
    <row r="302" spans="1:30" x14ac:dyDescent="0.2">
      <c r="A302">
        <f t="shared" si="38"/>
        <v>8</v>
      </c>
      <c r="B302">
        <v>293</v>
      </c>
      <c r="C302" s="1078">
        <v>2</v>
      </c>
      <c r="D302" s="1077" t="s">
        <v>3597</v>
      </c>
      <c r="E302" s="1077" t="s">
        <v>4023</v>
      </c>
      <c r="F302" s="1185">
        <v>1</v>
      </c>
      <c r="G302" s="1186">
        <v>4.8</v>
      </c>
      <c r="H302" s="1186">
        <v>2.5</v>
      </c>
      <c r="I302" s="1186">
        <v>6.3</v>
      </c>
      <c r="J302" s="1186">
        <v>3.2</v>
      </c>
      <c r="K302" s="1186">
        <v>7.7</v>
      </c>
      <c r="L302" s="1186">
        <v>3.8</v>
      </c>
      <c r="M302" s="1186">
        <v>8.5</v>
      </c>
      <c r="N302" s="1186">
        <v>4.3</v>
      </c>
      <c r="O302" s="1186">
        <v>12.9</v>
      </c>
      <c r="P302" s="1186">
        <v>6.4</v>
      </c>
      <c r="Q302" s="1186">
        <v>5.6</v>
      </c>
      <c r="R302" s="1186">
        <v>2</v>
      </c>
      <c r="S302" s="1186">
        <v>8.1</v>
      </c>
      <c r="T302" s="1186">
        <v>2.9</v>
      </c>
      <c r="U302" s="1186">
        <v>11.1</v>
      </c>
      <c r="V302" s="1186">
        <v>3.8</v>
      </c>
      <c r="W302" s="1186"/>
      <c r="X302" s="1186"/>
      <c r="Y302" s="1186"/>
      <c r="Z302" s="1186"/>
      <c r="AA302" s="1186"/>
      <c r="AB302" s="1186"/>
      <c r="AC302" s="1186"/>
      <c r="AD302" s="1187"/>
    </row>
    <row r="303" spans="1:30" x14ac:dyDescent="0.2">
      <c r="A303">
        <f t="shared" si="38"/>
        <v>8</v>
      </c>
      <c r="B303">
        <v>294</v>
      </c>
      <c r="C303" s="1078">
        <v>2</v>
      </c>
      <c r="D303" s="1077" t="s">
        <v>3597</v>
      </c>
      <c r="E303" s="1077" t="s">
        <v>4024</v>
      </c>
      <c r="F303" s="1185">
        <v>1</v>
      </c>
      <c r="G303" s="1186">
        <v>6.3</v>
      </c>
      <c r="H303" s="1186">
        <v>2.7</v>
      </c>
      <c r="I303" s="1186">
        <v>7.5</v>
      </c>
      <c r="J303" s="1186">
        <v>3.1</v>
      </c>
      <c r="K303" s="1186">
        <v>9</v>
      </c>
      <c r="L303" s="1186">
        <v>3.6</v>
      </c>
      <c r="M303" s="1186">
        <v>10.1</v>
      </c>
      <c r="N303" s="1186">
        <v>4.0999999999999996</v>
      </c>
      <c r="O303" s="1186">
        <v>13.9</v>
      </c>
      <c r="P303" s="1186">
        <v>5.5</v>
      </c>
      <c r="Q303" s="1186">
        <v>7.2</v>
      </c>
      <c r="R303" s="1186">
        <v>2.2000000000000002</v>
      </c>
      <c r="S303" s="1186">
        <v>9.4</v>
      </c>
      <c r="T303" s="1186">
        <v>2.7</v>
      </c>
      <c r="U303" s="1186">
        <v>13.4</v>
      </c>
      <c r="V303" s="1186">
        <v>3.7</v>
      </c>
      <c r="W303" s="1186"/>
      <c r="X303" s="1186"/>
      <c r="Y303" s="1186"/>
      <c r="Z303" s="1186"/>
      <c r="AA303" s="1186"/>
      <c r="AB303" s="1186"/>
      <c r="AC303" s="1186"/>
      <c r="AD303" s="1187"/>
    </row>
    <row r="304" spans="1:30" x14ac:dyDescent="0.2">
      <c r="A304">
        <f t="shared" si="38"/>
        <v>8</v>
      </c>
      <c r="B304">
        <v>295</v>
      </c>
      <c r="C304" s="1078">
        <v>2</v>
      </c>
      <c r="D304" s="1077" t="s">
        <v>3597</v>
      </c>
      <c r="E304" s="1077" t="s">
        <v>4445</v>
      </c>
      <c r="F304" s="1185">
        <v>4</v>
      </c>
      <c r="G304" s="1186">
        <v>3.67</v>
      </c>
      <c r="H304" s="1186">
        <v>2.52</v>
      </c>
      <c r="I304" s="1186">
        <v>4.0999999999999996</v>
      </c>
      <c r="J304" s="1186">
        <v>2.79</v>
      </c>
      <c r="K304" s="1186">
        <v>4.5</v>
      </c>
      <c r="L304" s="1186">
        <v>3.24</v>
      </c>
      <c r="M304" s="1186">
        <v>4.5</v>
      </c>
      <c r="N304" s="1186">
        <v>4.5199999999999996</v>
      </c>
      <c r="O304" s="1186">
        <v>4.5</v>
      </c>
      <c r="P304" s="1186">
        <v>6.33</v>
      </c>
      <c r="Q304" s="1186">
        <v>3.7</v>
      </c>
      <c r="R304" s="1186">
        <v>1.68</v>
      </c>
      <c r="S304" s="1186">
        <v>4.5</v>
      </c>
      <c r="T304" s="1186">
        <v>2.5099999999999998</v>
      </c>
      <c r="U304" s="1186">
        <v>4.5</v>
      </c>
      <c r="V304" s="1186">
        <v>3.2</v>
      </c>
      <c r="W304" s="1186"/>
      <c r="X304" s="1186"/>
      <c r="Y304" s="1186"/>
      <c r="Z304" s="1186"/>
      <c r="AA304" s="1186"/>
      <c r="AB304" s="1186"/>
      <c r="AC304" s="1186"/>
      <c r="AD304" s="1187"/>
    </row>
    <row r="305" spans="1:30" x14ac:dyDescent="0.2">
      <c r="A305">
        <f t="shared" si="38"/>
        <v>8</v>
      </c>
      <c r="B305">
        <v>296</v>
      </c>
      <c r="C305" s="1078">
        <v>2</v>
      </c>
      <c r="D305" s="1077" t="s">
        <v>3597</v>
      </c>
      <c r="E305" s="1077" t="s">
        <v>4446</v>
      </c>
      <c r="F305" s="1185">
        <v>4</v>
      </c>
      <c r="G305" s="1186">
        <v>4.04</v>
      </c>
      <c r="H305" s="1186">
        <v>2.42</v>
      </c>
      <c r="I305" s="1186">
        <v>4.5999999999999996</v>
      </c>
      <c r="J305" s="1186">
        <v>2.64</v>
      </c>
      <c r="K305" s="1186">
        <v>4.95</v>
      </c>
      <c r="L305" s="1186">
        <v>3.24</v>
      </c>
      <c r="M305" s="1186">
        <v>6</v>
      </c>
      <c r="N305" s="1186">
        <v>4.2699999999999996</v>
      </c>
      <c r="O305" s="1186">
        <v>6</v>
      </c>
      <c r="P305" s="1186">
        <v>5.76</v>
      </c>
      <c r="Q305" s="1186">
        <v>3.85</v>
      </c>
      <c r="R305" s="1186">
        <v>1.65</v>
      </c>
      <c r="S305" s="1186">
        <v>4.5</v>
      </c>
      <c r="T305" s="1186">
        <v>2.5099999999999998</v>
      </c>
      <c r="U305" s="1186">
        <v>4.5</v>
      </c>
      <c r="V305" s="1186">
        <v>3.2</v>
      </c>
      <c r="W305" s="1186"/>
      <c r="X305" s="1186"/>
      <c r="Y305" s="1186"/>
      <c r="Z305" s="1186"/>
      <c r="AA305" s="1186"/>
      <c r="AB305" s="1186"/>
      <c r="AC305" s="1186"/>
      <c r="AD305" s="1187"/>
    </row>
    <row r="306" spans="1:30" x14ac:dyDescent="0.2">
      <c r="A306">
        <f t="shared" si="38"/>
        <v>8</v>
      </c>
      <c r="B306">
        <v>297</v>
      </c>
      <c r="C306" s="1078">
        <v>2</v>
      </c>
      <c r="D306" s="1077" t="s">
        <v>3597</v>
      </c>
      <c r="E306" s="1077" t="s">
        <v>4447</v>
      </c>
      <c r="F306" s="1185">
        <v>4</v>
      </c>
      <c r="G306" s="1186">
        <v>5.5</v>
      </c>
      <c r="H306" s="1186">
        <v>2.1</v>
      </c>
      <c r="I306" s="1186">
        <v>5.7</v>
      </c>
      <c r="J306" s="1186">
        <v>2.56</v>
      </c>
      <c r="K306" s="1186">
        <v>5.65</v>
      </c>
      <c r="L306" s="1186">
        <v>3.17</v>
      </c>
      <c r="M306" s="1186">
        <v>7.5</v>
      </c>
      <c r="N306" s="1186">
        <v>4.08</v>
      </c>
      <c r="O306" s="1186">
        <v>7.5</v>
      </c>
      <c r="P306" s="1186">
        <v>5.6</v>
      </c>
      <c r="Q306" s="1186">
        <v>5</v>
      </c>
      <c r="R306" s="1186">
        <v>1.56</v>
      </c>
      <c r="S306" s="1186">
        <v>5</v>
      </c>
      <c r="T306" s="1186">
        <v>2.58</v>
      </c>
      <c r="U306" s="1186">
        <v>5</v>
      </c>
      <c r="V306" s="1186">
        <v>2.93</v>
      </c>
      <c r="W306" s="1186"/>
      <c r="X306" s="1186"/>
      <c r="Y306" s="1186"/>
      <c r="Z306" s="1186"/>
      <c r="AA306" s="1186"/>
      <c r="AB306" s="1186"/>
      <c r="AC306" s="1186"/>
      <c r="AD306" s="1187"/>
    </row>
    <row r="307" spans="1:30" x14ac:dyDescent="0.2">
      <c r="A307">
        <f t="shared" si="38"/>
        <v>8</v>
      </c>
      <c r="B307">
        <v>298</v>
      </c>
      <c r="C307" s="1078">
        <v>2</v>
      </c>
      <c r="D307" s="1077" t="s">
        <v>3597</v>
      </c>
      <c r="E307" s="1077" t="s">
        <v>4448</v>
      </c>
      <c r="F307" s="1185">
        <v>4</v>
      </c>
      <c r="G307" s="1186">
        <v>7.2</v>
      </c>
      <c r="H307" s="1186">
        <v>2.21</v>
      </c>
      <c r="I307" s="1186">
        <v>7.4</v>
      </c>
      <c r="J307" s="1186">
        <v>2.4900000000000002</v>
      </c>
      <c r="K307" s="1186">
        <v>7.7</v>
      </c>
      <c r="L307" s="1186">
        <v>3.12</v>
      </c>
      <c r="M307" s="1186">
        <v>10</v>
      </c>
      <c r="N307" s="1186">
        <v>4.0199999999999996</v>
      </c>
      <c r="O307" s="1186">
        <v>10</v>
      </c>
      <c r="P307" s="1186">
        <v>5.4</v>
      </c>
      <c r="Q307" s="1186">
        <v>7</v>
      </c>
      <c r="R307" s="1186">
        <v>1.69</v>
      </c>
      <c r="S307" s="1186">
        <v>7</v>
      </c>
      <c r="T307" s="1186">
        <v>2.4500000000000002</v>
      </c>
      <c r="U307" s="1186">
        <v>7</v>
      </c>
      <c r="V307" s="1186">
        <v>3.08</v>
      </c>
      <c r="W307" s="1186"/>
      <c r="X307" s="1186"/>
      <c r="Y307" s="1186"/>
      <c r="Z307" s="1186"/>
      <c r="AA307" s="1186"/>
      <c r="AB307" s="1186"/>
      <c r="AC307" s="1186"/>
      <c r="AD307" s="1187"/>
    </row>
    <row r="308" spans="1:30" x14ac:dyDescent="0.2">
      <c r="A308">
        <f t="shared" si="38"/>
        <v>8</v>
      </c>
      <c r="B308">
        <v>299</v>
      </c>
      <c r="C308" s="1078">
        <v>2</v>
      </c>
      <c r="D308" s="1077" t="s">
        <v>3597</v>
      </c>
      <c r="E308" s="1077" t="s">
        <v>4449</v>
      </c>
      <c r="F308" s="1185">
        <v>4</v>
      </c>
      <c r="G308" s="1186">
        <v>10.38</v>
      </c>
      <c r="H308" s="1186">
        <v>2.21</v>
      </c>
      <c r="I308" s="1186">
        <v>10.38</v>
      </c>
      <c r="J308" s="1186">
        <v>2.4300000000000002</v>
      </c>
      <c r="K308" s="1186">
        <v>10.77</v>
      </c>
      <c r="L308" s="1186">
        <v>3.17</v>
      </c>
      <c r="M308" s="1186">
        <v>10.8</v>
      </c>
      <c r="N308" s="1186">
        <v>4.3</v>
      </c>
      <c r="O308" s="1186">
        <v>10.8</v>
      </c>
      <c r="P308" s="1186">
        <v>5.45</v>
      </c>
      <c r="Q308" s="1186">
        <v>9.27</v>
      </c>
      <c r="R308" s="1186">
        <v>1.82</v>
      </c>
      <c r="S308" s="1186">
        <v>9.2899999999999991</v>
      </c>
      <c r="T308" s="1186">
        <v>2.64</v>
      </c>
      <c r="U308" s="1186">
        <v>9.2899999999999991</v>
      </c>
      <c r="V308" s="1186">
        <v>3.02</v>
      </c>
      <c r="W308" s="1186"/>
      <c r="X308" s="1186"/>
      <c r="Y308" s="1186"/>
      <c r="Z308" s="1186"/>
      <c r="AA308" s="1186"/>
      <c r="AB308" s="1186"/>
      <c r="AC308" s="1186"/>
      <c r="AD308" s="1187"/>
    </row>
    <row r="309" spans="1:30" x14ac:dyDescent="0.2">
      <c r="A309">
        <f t="shared" si="38"/>
        <v>8</v>
      </c>
      <c r="B309">
        <v>300</v>
      </c>
      <c r="C309" s="1078">
        <v>2</v>
      </c>
      <c r="D309" s="1077" t="s">
        <v>3597</v>
      </c>
      <c r="E309" s="1077" t="s">
        <v>4450</v>
      </c>
      <c r="F309" s="1185">
        <v>4</v>
      </c>
      <c r="G309" s="1186">
        <v>12.16</v>
      </c>
      <c r="H309" s="1186">
        <v>2.17</v>
      </c>
      <c r="I309" s="1186">
        <v>13.5</v>
      </c>
      <c r="J309" s="1186">
        <v>2.5</v>
      </c>
      <c r="K309" s="1186">
        <v>13.5</v>
      </c>
      <c r="L309" s="1186">
        <v>3.11</v>
      </c>
      <c r="M309" s="1186">
        <v>15.17</v>
      </c>
      <c r="N309" s="1186">
        <v>4.0999999999999996</v>
      </c>
      <c r="O309" s="1186">
        <v>15.17</v>
      </c>
      <c r="P309" s="1186">
        <v>5.21</v>
      </c>
      <c r="Q309" s="1186">
        <v>11</v>
      </c>
      <c r="R309" s="1186">
        <v>1.75</v>
      </c>
      <c r="S309" s="1186">
        <v>12.24</v>
      </c>
      <c r="T309" s="1186">
        <v>2.48</v>
      </c>
      <c r="U309" s="1186">
        <v>12.24</v>
      </c>
      <c r="V309" s="1186">
        <v>2.87</v>
      </c>
      <c r="W309" s="1186"/>
      <c r="X309" s="1186"/>
      <c r="Y309" s="1186"/>
      <c r="Z309" s="1186"/>
      <c r="AA309" s="1186"/>
      <c r="AB309" s="1186"/>
      <c r="AC309" s="1186"/>
      <c r="AD309" s="1187"/>
    </row>
    <row r="310" spans="1:30" x14ac:dyDescent="0.2">
      <c r="A310">
        <f t="shared" si="38"/>
        <v>8</v>
      </c>
      <c r="B310">
        <v>301</v>
      </c>
      <c r="C310" s="1078">
        <v>2</v>
      </c>
      <c r="D310" s="1077" t="s">
        <v>3597</v>
      </c>
      <c r="E310" s="1077" t="s">
        <v>4846</v>
      </c>
      <c r="F310" s="1185">
        <v>4</v>
      </c>
      <c r="G310" s="1186">
        <v>21.2</v>
      </c>
      <c r="H310" s="1186">
        <v>2.2000000000000002</v>
      </c>
      <c r="I310" s="1186">
        <v>24.5</v>
      </c>
      <c r="J310" s="1186">
        <v>2.4</v>
      </c>
      <c r="K310" s="1186">
        <v>25.1</v>
      </c>
      <c r="L310" s="1186">
        <v>2.95</v>
      </c>
      <c r="M310" s="1186">
        <v>26.3</v>
      </c>
      <c r="N310" s="1186">
        <v>3.5</v>
      </c>
      <c r="O310" s="1186">
        <v>26.8</v>
      </c>
      <c r="P310" s="1186">
        <v>5.6</v>
      </c>
      <c r="Q310" s="1186">
        <v>14.7</v>
      </c>
      <c r="R310" s="1186">
        <v>2.13</v>
      </c>
      <c r="S310" s="1186">
        <v>26.3</v>
      </c>
      <c r="T310" s="1186">
        <v>2.4</v>
      </c>
      <c r="U310" s="1186">
        <v>25.5</v>
      </c>
      <c r="V310" s="1186">
        <v>3.25</v>
      </c>
      <c r="W310" s="1186"/>
      <c r="X310" s="1186"/>
      <c r="Y310" s="1186"/>
      <c r="Z310" s="1186"/>
      <c r="AA310" s="1186"/>
      <c r="AB310" s="1186"/>
      <c r="AC310" s="1186"/>
      <c r="AD310" s="1187"/>
    </row>
    <row r="311" spans="1:30" x14ac:dyDescent="0.2">
      <c r="A311">
        <f t="shared" si="38"/>
        <v>8</v>
      </c>
      <c r="B311">
        <v>302</v>
      </c>
      <c r="C311" s="1078">
        <v>2</v>
      </c>
      <c r="D311" s="1077" t="s">
        <v>3597</v>
      </c>
      <c r="E311" s="1077" t="s">
        <v>4847</v>
      </c>
      <c r="F311" s="1185">
        <v>4</v>
      </c>
      <c r="G311" s="1186">
        <v>21.2</v>
      </c>
      <c r="H311" s="1186">
        <v>2.2000000000000002</v>
      </c>
      <c r="I311" s="1186">
        <v>24.5</v>
      </c>
      <c r="J311" s="1186">
        <v>2.4</v>
      </c>
      <c r="K311" s="1186">
        <v>23</v>
      </c>
      <c r="L311" s="1186">
        <v>3.2</v>
      </c>
      <c r="M311" s="1186">
        <v>21.6</v>
      </c>
      <c r="N311" s="1186">
        <v>4.4000000000000004</v>
      </c>
      <c r="O311" s="1186">
        <v>17.5</v>
      </c>
      <c r="P311" s="1186">
        <v>5.9</v>
      </c>
      <c r="Q311" s="1186">
        <v>14.7</v>
      </c>
      <c r="R311" s="1186">
        <v>2.13</v>
      </c>
      <c r="S311" s="1186">
        <v>21</v>
      </c>
      <c r="T311" s="1186">
        <v>2.76</v>
      </c>
      <c r="U311" s="1186">
        <v>20.6</v>
      </c>
      <c r="V311" s="1186">
        <v>3.25</v>
      </c>
      <c r="W311" s="1186"/>
      <c r="X311" s="1186"/>
      <c r="Y311" s="1186"/>
      <c r="Z311" s="1186"/>
      <c r="AA311" s="1186"/>
      <c r="AB311" s="1186"/>
      <c r="AC311" s="1186"/>
      <c r="AD311" s="1187"/>
    </row>
    <row r="312" spans="1:30" x14ac:dyDescent="0.2">
      <c r="A312">
        <f t="shared" si="38"/>
        <v>8</v>
      </c>
      <c r="B312">
        <v>303</v>
      </c>
      <c r="C312" s="1078">
        <v>2</v>
      </c>
      <c r="D312" s="1077" t="s">
        <v>3597</v>
      </c>
      <c r="E312" s="1077" t="s">
        <v>4848</v>
      </c>
      <c r="F312" s="1185">
        <v>4</v>
      </c>
      <c r="G312" s="1186">
        <v>15.2</v>
      </c>
      <c r="H312" s="1186">
        <v>2.35</v>
      </c>
      <c r="I312" s="1186">
        <v>19.2</v>
      </c>
      <c r="J312" s="1186">
        <v>2.65</v>
      </c>
      <c r="K312" s="1186">
        <v>18.899999999999999</v>
      </c>
      <c r="L312" s="1186">
        <v>4.05</v>
      </c>
      <c r="M312" s="1186">
        <v>15.9</v>
      </c>
      <c r="N312" s="1186">
        <v>4.55</v>
      </c>
      <c r="O312" s="1186">
        <v>17.5</v>
      </c>
      <c r="P312" s="1186">
        <v>5.9</v>
      </c>
      <c r="Q312" s="1186">
        <v>14.7</v>
      </c>
      <c r="R312" s="1186">
        <v>2.13</v>
      </c>
      <c r="S312" s="1186">
        <v>16.899999999999999</v>
      </c>
      <c r="T312" s="1186">
        <v>2.73</v>
      </c>
      <c r="U312" s="1186">
        <v>15.7</v>
      </c>
      <c r="V312" s="1186">
        <v>3.25</v>
      </c>
      <c r="W312" s="1186"/>
      <c r="X312" s="1186"/>
      <c r="Y312" s="1186"/>
      <c r="Z312" s="1186"/>
      <c r="AA312" s="1186"/>
      <c r="AB312" s="1186"/>
      <c r="AC312" s="1186"/>
      <c r="AD312" s="1187"/>
    </row>
    <row r="313" spans="1:30" x14ac:dyDescent="0.2">
      <c r="A313">
        <f t="shared" si="38"/>
        <v>8</v>
      </c>
      <c r="B313">
        <v>304</v>
      </c>
      <c r="C313" s="1078">
        <v>3</v>
      </c>
      <c r="D313" s="1077" t="s">
        <v>3597</v>
      </c>
      <c r="E313" s="1077" t="s">
        <v>4493</v>
      </c>
      <c r="F313" s="1185">
        <v>4</v>
      </c>
      <c r="G313" s="1186"/>
      <c r="H313" s="1186"/>
      <c r="I313" s="1186"/>
      <c r="J313" s="1186"/>
      <c r="K313" s="1186"/>
      <c r="L313" s="1186"/>
      <c r="M313" s="1186"/>
      <c r="N313" s="1186"/>
      <c r="O313" s="1186"/>
      <c r="P313" s="1186"/>
      <c r="Q313" s="1186"/>
      <c r="R313" s="1186"/>
      <c r="S313" s="1186"/>
      <c r="T313" s="1186"/>
      <c r="U313" s="1186"/>
      <c r="V313" s="1186"/>
      <c r="W313" s="1186">
        <v>1.8</v>
      </c>
      <c r="X313" s="1186">
        <v>4.5</v>
      </c>
      <c r="Y313" s="1186">
        <v>1.6</v>
      </c>
      <c r="Z313" s="1186">
        <v>2.5</v>
      </c>
      <c r="AA313" s="1186">
        <v>2.4</v>
      </c>
      <c r="AB313" s="1186">
        <v>5.8</v>
      </c>
      <c r="AC313" s="1186">
        <v>2.1</v>
      </c>
      <c r="AD313" s="1187">
        <v>3.2</v>
      </c>
    </row>
    <row r="314" spans="1:30" x14ac:dyDescent="0.2">
      <c r="A314">
        <f t="shared" si="38"/>
        <v>8</v>
      </c>
      <c r="B314">
        <v>305</v>
      </c>
      <c r="C314" s="1078">
        <v>3</v>
      </c>
      <c r="D314" s="1077" t="s">
        <v>3597</v>
      </c>
      <c r="E314" s="1077" t="s">
        <v>4494</v>
      </c>
      <c r="F314" s="1185">
        <v>4</v>
      </c>
      <c r="G314" s="1186"/>
      <c r="H314" s="1186"/>
      <c r="I314" s="1186"/>
      <c r="J314" s="1186"/>
      <c r="K314" s="1186"/>
      <c r="L314" s="1186"/>
      <c r="M314" s="1186"/>
      <c r="N314" s="1186"/>
      <c r="O314" s="1186"/>
      <c r="P314" s="1186"/>
      <c r="Q314" s="1186"/>
      <c r="R314" s="1186"/>
      <c r="S314" s="1186"/>
      <c r="T314" s="1186"/>
      <c r="U314" s="1186"/>
      <c r="V314" s="1186"/>
      <c r="W314" s="1186">
        <v>2.5</v>
      </c>
      <c r="X314" s="1186">
        <v>4.7</v>
      </c>
      <c r="Y314" s="1186">
        <v>2.2000000000000002</v>
      </c>
      <c r="Z314" s="1186">
        <v>2.7</v>
      </c>
      <c r="AA314" s="1186">
        <v>3.3</v>
      </c>
      <c r="AB314" s="1186">
        <v>6.2</v>
      </c>
      <c r="AC314" s="1186">
        <v>2.8</v>
      </c>
      <c r="AD314" s="1187">
        <v>3.4</v>
      </c>
    </row>
    <row r="315" spans="1:30" x14ac:dyDescent="0.2">
      <c r="A315">
        <f t="shared" si="38"/>
        <v>8</v>
      </c>
      <c r="B315">
        <v>306</v>
      </c>
      <c r="C315" s="1078">
        <v>3</v>
      </c>
      <c r="D315" s="1077" t="s">
        <v>3597</v>
      </c>
      <c r="E315" s="1077" t="s">
        <v>4495</v>
      </c>
      <c r="F315" s="1185">
        <v>4</v>
      </c>
      <c r="G315" s="1186"/>
      <c r="H315" s="1186"/>
      <c r="I315" s="1186"/>
      <c r="J315" s="1186"/>
      <c r="K315" s="1186"/>
      <c r="L315" s="1186"/>
      <c r="M315" s="1186"/>
      <c r="N315" s="1186"/>
      <c r="O315" s="1186"/>
      <c r="P315" s="1186"/>
      <c r="Q315" s="1186"/>
      <c r="R315" s="1186"/>
      <c r="S315" s="1186"/>
      <c r="T315" s="1186"/>
      <c r="U315" s="1186"/>
      <c r="V315" s="1186"/>
      <c r="W315" s="1186">
        <v>3.1</v>
      </c>
      <c r="X315" s="1186">
        <v>4.8</v>
      </c>
      <c r="Y315" s="1186">
        <v>2.7</v>
      </c>
      <c r="Z315" s="1186">
        <v>2.8</v>
      </c>
      <c r="AA315" s="1186">
        <v>4.2</v>
      </c>
      <c r="AB315" s="1186">
        <v>6.3</v>
      </c>
      <c r="AC315" s="1186">
        <v>3.6</v>
      </c>
      <c r="AD315" s="1187">
        <v>3.5</v>
      </c>
    </row>
    <row r="316" spans="1:30" x14ac:dyDescent="0.2">
      <c r="A316">
        <f t="shared" si="38"/>
        <v>8</v>
      </c>
      <c r="B316">
        <v>307</v>
      </c>
      <c r="C316" s="1078">
        <v>3</v>
      </c>
      <c r="D316" s="1077" t="s">
        <v>3597</v>
      </c>
      <c r="E316" s="1077" t="s">
        <v>4451</v>
      </c>
      <c r="F316" s="1185">
        <v>4</v>
      </c>
      <c r="G316" s="1186"/>
      <c r="H316" s="1186"/>
      <c r="I316" s="1186"/>
      <c r="J316" s="1186"/>
      <c r="K316" s="1186"/>
      <c r="L316" s="1186"/>
      <c r="M316" s="1186"/>
      <c r="N316" s="1186"/>
      <c r="O316" s="1186"/>
      <c r="P316" s="1186"/>
      <c r="Q316" s="1186"/>
      <c r="R316" s="1186"/>
      <c r="S316" s="1186"/>
      <c r="T316" s="1186"/>
      <c r="U316" s="1186"/>
      <c r="V316" s="1186"/>
      <c r="W316" s="1186">
        <v>3.8</v>
      </c>
      <c r="X316" s="1186">
        <v>4.7</v>
      </c>
      <c r="Y316" s="1186">
        <v>3.3</v>
      </c>
      <c r="Z316" s="1186">
        <v>2.8</v>
      </c>
      <c r="AA316" s="1186">
        <v>5</v>
      </c>
      <c r="AB316" s="1186">
        <v>6.2</v>
      </c>
      <c r="AC316" s="1186">
        <v>4.4000000000000004</v>
      </c>
      <c r="AD316" s="1187">
        <v>3.5</v>
      </c>
    </row>
    <row r="317" spans="1:30" x14ac:dyDescent="0.2">
      <c r="A317">
        <f t="shared" si="38"/>
        <v>8</v>
      </c>
      <c r="B317">
        <v>308</v>
      </c>
      <c r="C317" s="1078">
        <v>3</v>
      </c>
      <c r="D317" s="1077" t="s">
        <v>3597</v>
      </c>
      <c r="E317" s="1077" t="s">
        <v>4496</v>
      </c>
      <c r="F317" s="1185">
        <v>4</v>
      </c>
      <c r="G317" s="1186"/>
      <c r="H317" s="1186"/>
      <c r="I317" s="1186"/>
      <c r="J317" s="1186"/>
      <c r="K317" s="1186"/>
      <c r="L317" s="1186"/>
      <c r="M317" s="1186"/>
      <c r="N317" s="1186"/>
      <c r="O317" s="1186"/>
      <c r="P317" s="1186"/>
      <c r="Q317" s="1186"/>
      <c r="R317" s="1186"/>
      <c r="S317" s="1186"/>
      <c r="T317" s="1186"/>
      <c r="U317" s="1186"/>
      <c r="V317" s="1186"/>
      <c r="W317" s="1186">
        <v>4.5</v>
      </c>
      <c r="X317" s="1186">
        <v>4.5999999999999996</v>
      </c>
      <c r="Y317" s="1186">
        <v>3.9</v>
      </c>
      <c r="Z317" s="1186">
        <v>2.7</v>
      </c>
      <c r="AA317" s="1186">
        <v>5.9</v>
      </c>
      <c r="AB317" s="1186">
        <v>6</v>
      </c>
      <c r="AC317" s="1186">
        <v>5.0999999999999996</v>
      </c>
      <c r="AD317" s="1187">
        <v>3.4</v>
      </c>
    </row>
    <row r="318" spans="1:30" x14ac:dyDescent="0.2">
      <c r="A318">
        <f t="shared" si="38"/>
        <v>8</v>
      </c>
      <c r="B318">
        <v>309</v>
      </c>
      <c r="C318" s="1078">
        <v>3</v>
      </c>
      <c r="D318" s="1077" t="s">
        <v>3597</v>
      </c>
      <c r="E318" s="1077" t="s">
        <v>4497</v>
      </c>
      <c r="F318" s="1185">
        <v>4</v>
      </c>
      <c r="G318" s="1186"/>
      <c r="H318" s="1186"/>
      <c r="I318" s="1186"/>
      <c r="J318" s="1186"/>
      <c r="K318" s="1186"/>
      <c r="L318" s="1186"/>
      <c r="M318" s="1186"/>
      <c r="N318" s="1186"/>
      <c r="O318" s="1186"/>
      <c r="P318" s="1186"/>
      <c r="Q318" s="1186"/>
      <c r="R318" s="1186"/>
      <c r="S318" s="1186"/>
      <c r="T318" s="1186"/>
      <c r="U318" s="1186"/>
      <c r="V318" s="1186"/>
      <c r="W318" s="1186">
        <v>5.0999999999999996</v>
      </c>
      <c r="X318" s="1186">
        <v>4.4000000000000004</v>
      </c>
      <c r="Y318" s="1186">
        <v>4.4000000000000004</v>
      </c>
      <c r="Z318" s="1186">
        <v>2.6</v>
      </c>
      <c r="AA318" s="1186">
        <v>6.8</v>
      </c>
      <c r="AB318" s="1186">
        <v>5.7</v>
      </c>
      <c r="AC318" s="1186">
        <v>5.9</v>
      </c>
      <c r="AD318" s="1187">
        <v>3.3</v>
      </c>
    </row>
    <row r="319" spans="1:30" x14ac:dyDescent="0.2">
      <c r="A319">
        <f t="shared" si="38"/>
        <v>8</v>
      </c>
      <c r="B319">
        <v>310</v>
      </c>
      <c r="C319" s="1078">
        <v>3</v>
      </c>
      <c r="D319" s="1077" t="s">
        <v>3597</v>
      </c>
      <c r="E319" s="1077" t="s">
        <v>4498</v>
      </c>
      <c r="F319" s="1185">
        <v>4</v>
      </c>
      <c r="G319" s="1186"/>
      <c r="H319" s="1186"/>
      <c r="I319" s="1186"/>
      <c r="J319" s="1186"/>
      <c r="K319" s="1186"/>
      <c r="L319" s="1186"/>
      <c r="M319" s="1186"/>
      <c r="N319" s="1186"/>
      <c r="O319" s="1186"/>
      <c r="P319" s="1186"/>
      <c r="Q319" s="1186"/>
      <c r="R319" s="1186"/>
      <c r="S319" s="1186"/>
      <c r="T319" s="1186"/>
      <c r="U319" s="1186"/>
      <c r="V319" s="1186"/>
      <c r="W319" s="1186">
        <v>5.8</v>
      </c>
      <c r="X319" s="1186">
        <v>4.3</v>
      </c>
      <c r="Y319" s="1186">
        <v>5</v>
      </c>
      <c r="Z319" s="1186">
        <v>2.5</v>
      </c>
      <c r="AA319" s="1186">
        <v>7.7</v>
      </c>
      <c r="AB319" s="1186">
        <v>5.5</v>
      </c>
      <c r="AC319" s="1186">
        <v>6.6</v>
      </c>
      <c r="AD319" s="1187">
        <v>3.1</v>
      </c>
    </row>
    <row r="320" spans="1:30" x14ac:dyDescent="0.2">
      <c r="A320">
        <f t="shared" si="38"/>
        <v>8</v>
      </c>
      <c r="B320">
        <v>311</v>
      </c>
      <c r="C320" s="1081">
        <v>3</v>
      </c>
      <c r="D320" s="1082" t="s">
        <v>3597</v>
      </c>
      <c r="E320" s="1082" t="s">
        <v>4499</v>
      </c>
      <c r="F320" s="1188">
        <v>4</v>
      </c>
      <c r="G320" s="1189"/>
      <c r="H320" s="1189"/>
      <c r="I320" s="1189"/>
      <c r="J320" s="1189"/>
      <c r="K320" s="1189"/>
      <c r="L320" s="1189"/>
      <c r="M320" s="1189"/>
      <c r="N320" s="1189"/>
      <c r="O320" s="1189"/>
      <c r="P320" s="1189"/>
      <c r="Q320" s="1189"/>
      <c r="R320" s="1189"/>
      <c r="S320" s="1189"/>
      <c r="T320" s="1189"/>
      <c r="U320" s="1189"/>
      <c r="V320" s="1189"/>
      <c r="W320" s="1189">
        <v>6.5</v>
      </c>
      <c r="X320" s="1189">
        <v>4.0999999999999996</v>
      </c>
      <c r="Y320" s="1189">
        <v>5.6</v>
      </c>
      <c r="Z320" s="1189">
        <v>2.4</v>
      </c>
      <c r="AA320" s="1189">
        <v>8.6</v>
      </c>
      <c r="AB320" s="1189">
        <v>5.2</v>
      </c>
      <c r="AC320" s="1189">
        <v>7.4</v>
      </c>
      <c r="AD320" s="1194">
        <v>3</v>
      </c>
    </row>
    <row r="321" spans="1:30" x14ac:dyDescent="0.2">
      <c r="A321">
        <f t="shared" si="38"/>
        <v>8</v>
      </c>
      <c r="B321">
        <v>312</v>
      </c>
      <c r="C321" s="1190">
        <v>3</v>
      </c>
      <c r="D321" s="1191" t="s">
        <v>3597</v>
      </c>
      <c r="E321" s="1191" t="s">
        <v>4500</v>
      </c>
      <c r="F321" s="1192">
        <v>4</v>
      </c>
      <c r="G321" s="1193"/>
      <c r="H321" s="1193"/>
      <c r="I321" s="1193"/>
      <c r="J321" s="1193"/>
      <c r="K321" s="1193"/>
      <c r="L321" s="1193"/>
      <c r="M321" s="1193"/>
      <c r="N321" s="1193"/>
      <c r="O321" s="1193"/>
      <c r="P321" s="1193"/>
      <c r="Q321" s="1193"/>
      <c r="R321" s="1193"/>
      <c r="S321" s="1193"/>
      <c r="T321" s="1193"/>
      <c r="U321" s="1193"/>
      <c r="V321" s="1193"/>
      <c r="W321" s="1193">
        <v>5.4</v>
      </c>
      <c r="X321" s="1193">
        <v>4.9000000000000004</v>
      </c>
      <c r="Y321" s="1193">
        <v>4.8</v>
      </c>
      <c r="Z321" s="1193">
        <v>2.9</v>
      </c>
      <c r="AA321" s="1193">
        <v>7.2</v>
      </c>
      <c r="AB321" s="1193">
        <v>6.2</v>
      </c>
      <c r="AC321" s="1193">
        <v>6.4</v>
      </c>
      <c r="AD321" s="1195">
        <v>3.7</v>
      </c>
    </row>
    <row r="322" spans="1:30" x14ac:dyDescent="0.2">
      <c r="A322">
        <f t="shared" si="38"/>
        <v>8</v>
      </c>
      <c r="B322">
        <v>313</v>
      </c>
      <c r="C322" s="1078">
        <v>3</v>
      </c>
      <c r="D322" s="1077" t="s">
        <v>3597</v>
      </c>
      <c r="E322" s="1077" t="s">
        <v>4501</v>
      </c>
      <c r="F322" s="1185">
        <v>4</v>
      </c>
      <c r="G322" s="1186"/>
      <c r="H322" s="1186"/>
      <c r="I322" s="1186"/>
      <c r="J322" s="1186"/>
      <c r="K322" s="1186"/>
      <c r="L322" s="1186"/>
      <c r="M322" s="1186"/>
      <c r="N322" s="1186"/>
      <c r="O322" s="1186"/>
      <c r="P322" s="1186"/>
      <c r="Q322" s="1186"/>
      <c r="R322" s="1186"/>
      <c r="S322" s="1186"/>
      <c r="T322" s="1186"/>
      <c r="U322" s="1186"/>
      <c r="V322" s="1186"/>
      <c r="W322" s="1186">
        <v>7.2</v>
      </c>
      <c r="X322" s="1186">
        <v>4.9000000000000004</v>
      </c>
      <c r="Y322" s="1186">
        <v>6.4</v>
      </c>
      <c r="Z322" s="1186">
        <v>3</v>
      </c>
      <c r="AA322" s="1186">
        <v>9.6</v>
      </c>
      <c r="AB322" s="1186">
        <v>6.3</v>
      </c>
      <c r="AC322" s="1186">
        <v>8.5</v>
      </c>
      <c r="AD322" s="1187">
        <v>3.8</v>
      </c>
    </row>
    <row r="323" spans="1:30" x14ac:dyDescent="0.2">
      <c r="A323">
        <f t="shared" si="38"/>
        <v>8</v>
      </c>
      <c r="B323">
        <v>314</v>
      </c>
      <c r="C323" s="1078">
        <v>3</v>
      </c>
      <c r="D323" s="1077" t="s">
        <v>3597</v>
      </c>
      <c r="E323" s="1077" t="s">
        <v>4502</v>
      </c>
      <c r="F323" s="1185">
        <v>4</v>
      </c>
      <c r="G323" s="1186"/>
      <c r="H323" s="1186"/>
      <c r="I323" s="1186"/>
      <c r="J323" s="1186"/>
      <c r="K323" s="1186"/>
      <c r="L323" s="1186"/>
      <c r="M323" s="1186"/>
      <c r="N323" s="1186"/>
      <c r="O323" s="1186"/>
      <c r="P323" s="1186"/>
      <c r="Q323" s="1186"/>
      <c r="R323" s="1186"/>
      <c r="S323" s="1186"/>
      <c r="T323" s="1186"/>
      <c r="U323" s="1186"/>
      <c r="V323" s="1186"/>
      <c r="W323" s="1186">
        <v>8.9</v>
      </c>
      <c r="X323" s="1186">
        <v>4.8</v>
      </c>
      <c r="Y323" s="1186">
        <v>7.9</v>
      </c>
      <c r="Z323" s="1186">
        <v>2.9</v>
      </c>
      <c r="AA323" s="1186">
        <v>11.9</v>
      </c>
      <c r="AB323" s="1186">
        <v>6.2</v>
      </c>
      <c r="AC323" s="1186">
        <v>10.6</v>
      </c>
      <c r="AD323" s="1187">
        <v>3.7</v>
      </c>
    </row>
    <row r="324" spans="1:30" x14ac:dyDescent="0.2">
      <c r="A324">
        <f t="shared" si="38"/>
        <v>8</v>
      </c>
      <c r="B324">
        <v>315</v>
      </c>
      <c r="C324" s="1078">
        <v>3</v>
      </c>
      <c r="D324" s="1077" t="s">
        <v>3597</v>
      </c>
      <c r="E324" s="1077" t="s">
        <v>4452</v>
      </c>
      <c r="F324" s="1185">
        <v>4</v>
      </c>
      <c r="G324" s="1186"/>
      <c r="H324" s="1186"/>
      <c r="I324" s="1186"/>
      <c r="J324" s="1186"/>
      <c r="K324" s="1186"/>
      <c r="L324" s="1186"/>
      <c r="M324" s="1186"/>
      <c r="N324" s="1186"/>
      <c r="O324" s="1186"/>
      <c r="P324" s="1186"/>
      <c r="Q324" s="1186"/>
      <c r="R324" s="1186"/>
      <c r="S324" s="1186"/>
      <c r="T324" s="1186"/>
      <c r="U324" s="1186"/>
      <c r="V324" s="1186"/>
      <c r="W324" s="1186">
        <v>10.6</v>
      </c>
      <c r="X324" s="1186">
        <v>4.5999999999999996</v>
      </c>
      <c r="Y324" s="1186">
        <v>9.4</v>
      </c>
      <c r="Z324" s="1186">
        <v>2.8</v>
      </c>
      <c r="AA324" s="1186">
        <v>14.2</v>
      </c>
      <c r="AB324" s="1186">
        <v>6</v>
      </c>
      <c r="AC324" s="1186">
        <v>12.6</v>
      </c>
      <c r="AD324" s="1187">
        <v>3.6</v>
      </c>
    </row>
    <row r="325" spans="1:30" x14ac:dyDescent="0.2">
      <c r="A325">
        <f t="shared" si="38"/>
        <v>8</v>
      </c>
      <c r="B325">
        <v>316</v>
      </c>
      <c r="C325" s="1078">
        <v>3</v>
      </c>
      <c r="D325" s="1077" t="s">
        <v>3597</v>
      </c>
      <c r="E325" s="1077" t="s">
        <v>4503</v>
      </c>
      <c r="F325" s="1185">
        <v>4</v>
      </c>
      <c r="G325" s="1186"/>
      <c r="H325" s="1186"/>
      <c r="I325" s="1186"/>
      <c r="J325" s="1186"/>
      <c r="K325" s="1186"/>
      <c r="L325" s="1186"/>
      <c r="M325" s="1186"/>
      <c r="N325" s="1186"/>
      <c r="O325" s="1186"/>
      <c r="P325" s="1186"/>
      <c r="Q325" s="1186"/>
      <c r="R325" s="1186"/>
      <c r="S325" s="1186"/>
      <c r="T325" s="1186"/>
      <c r="U325" s="1186"/>
      <c r="V325" s="1186"/>
      <c r="W325" s="1186">
        <v>12.3</v>
      </c>
      <c r="X325" s="1186">
        <v>4.5</v>
      </c>
      <c r="Y325" s="1186">
        <v>10.9</v>
      </c>
      <c r="Z325" s="1186">
        <v>2.7</v>
      </c>
      <c r="AA325" s="1186">
        <v>16.5</v>
      </c>
      <c r="AB325" s="1186">
        <v>5.7</v>
      </c>
      <c r="AC325" s="1186">
        <v>14.5</v>
      </c>
      <c r="AD325" s="1187">
        <v>3.5</v>
      </c>
    </row>
    <row r="326" spans="1:30" x14ac:dyDescent="0.2">
      <c r="A326">
        <f t="shared" si="38"/>
        <v>8</v>
      </c>
      <c r="B326">
        <v>317</v>
      </c>
      <c r="C326" s="1078">
        <v>3</v>
      </c>
      <c r="D326" s="1077" t="s">
        <v>3597</v>
      </c>
      <c r="E326" s="1077" t="s">
        <v>4504</v>
      </c>
      <c r="F326" s="1185">
        <v>4</v>
      </c>
      <c r="G326" s="1186"/>
      <c r="H326" s="1186"/>
      <c r="I326" s="1186"/>
      <c r="J326" s="1186"/>
      <c r="K326" s="1186"/>
      <c r="L326" s="1186"/>
      <c r="M326" s="1186"/>
      <c r="N326" s="1186"/>
      <c r="O326" s="1186"/>
      <c r="P326" s="1186"/>
      <c r="Q326" s="1186"/>
      <c r="R326" s="1186"/>
      <c r="S326" s="1186"/>
      <c r="T326" s="1186"/>
      <c r="U326" s="1186"/>
      <c r="V326" s="1186"/>
      <c r="W326" s="1186">
        <v>14</v>
      </c>
      <c r="X326" s="1186">
        <v>4.3</v>
      </c>
      <c r="Y326" s="1186">
        <v>12.3</v>
      </c>
      <c r="Z326" s="1186">
        <v>2.6</v>
      </c>
      <c r="AA326" s="1186">
        <v>18.600000000000001</v>
      </c>
      <c r="AB326" s="1186">
        <v>5.4</v>
      </c>
      <c r="AC326" s="1186">
        <v>16.399999999999999</v>
      </c>
      <c r="AD326" s="1187">
        <v>3.3</v>
      </c>
    </row>
    <row r="327" spans="1:30" x14ac:dyDescent="0.2">
      <c r="A327">
        <f t="shared" si="38"/>
        <v>8</v>
      </c>
      <c r="B327">
        <v>318</v>
      </c>
      <c r="C327" s="1078">
        <v>3</v>
      </c>
      <c r="D327" s="1077" t="s">
        <v>3597</v>
      </c>
      <c r="E327" s="1077" t="s">
        <v>4505</v>
      </c>
      <c r="F327" s="1185">
        <v>4</v>
      </c>
      <c r="G327" s="1186"/>
      <c r="H327" s="1186"/>
      <c r="I327" s="1186"/>
      <c r="J327" s="1186"/>
      <c r="K327" s="1186"/>
      <c r="L327" s="1186"/>
      <c r="M327" s="1186"/>
      <c r="N327" s="1186"/>
      <c r="O327" s="1186"/>
      <c r="P327" s="1186"/>
      <c r="Q327" s="1186"/>
      <c r="R327" s="1186"/>
      <c r="S327" s="1186"/>
      <c r="T327" s="1186"/>
      <c r="U327" s="1186"/>
      <c r="V327" s="1186"/>
      <c r="W327" s="1186">
        <v>15.6</v>
      </c>
      <c r="X327" s="1186">
        <v>4.0999999999999996</v>
      </c>
      <c r="Y327" s="1186">
        <v>13.7</v>
      </c>
      <c r="Z327" s="1186">
        <v>2.5</v>
      </c>
      <c r="AA327" s="1186">
        <v>20.8</v>
      </c>
      <c r="AB327" s="1186">
        <v>5.0999999999999996</v>
      </c>
      <c r="AC327" s="1186">
        <v>18.3</v>
      </c>
      <c r="AD327" s="1187">
        <v>3.2</v>
      </c>
    </row>
    <row r="328" spans="1:30" x14ac:dyDescent="0.2">
      <c r="A328">
        <f t="shared" si="38"/>
        <v>8</v>
      </c>
      <c r="B328">
        <v>319</v>
      </c>
      <c r="C328" s="1078">
        <v>3</v>
      </c>
      <c r="D328" s="1077" t="s">
        <v>3597</v>
      </c>
      <c r="E328" s="1077" t="s">
        <v>4506</v>
      </c>
      <c r="F328" s="1185">
        <v>4</v>
      </c>
      <c r="G328" s="1186"/>
      <c r="H328" s="1186"/>
      <c r="I328" s="1186"/>
      <c r="J328" s="1186"/>
      <c r="K328" s="1186"/>
      <c r="L328" s="1186"/>
      <c r="M328" s="1186"/>
      <c r="N328" s="1186"/>
      <c r="O328" s="1186"/>
      <c r="P328" s="1186"/>
      <c r="Q328" s="1186"/>
      <c r="R328" s="1186"/>
      <c r="S328" s="1186"/>
      <c r="T328" s="1186"/>
      <c r="U328" s="1186"/>
      <c r="V328" s="1186"/>
      <c r="W328" s="1186">
        <v>17.2</v>
      </c>
      <c r="X328" s="1186">
        <v>3.9</v>
      </c>
      <c r="Y328" s="1186">
        <v>15</v>
      </c>
      <c r="Z328" s="1186">
        <v>2.4</v>
      </c>
      <c r="AA328" s="1186">
        <v>22.9</v>
      </c>
      <c r="AB328" s="1186">
        <v>4.9000000000000004</v>
      </c>
      <c r="AC328" s="1186">
        <v>20.100000000000001</v>
      </c>
      <c r="AD328" s="1187">
        <v>3</v>
      </c>
    </row>
    <row r="329" spans="1:30" x14ac:dyDescent="0.2">
      <c r="A329">
        <f t="shared" si="38"/>
        <v>8</v>
      </c>
      <c r="B329">
        <v>320</v>
      </c>
      <c r="C329" s="1078">
        <v>3</v>
      </c>
      <c r="D329" s="1077" t="s">
        <v>3597</v>
      </c>
      <c r="E329" s="1077" t="s">
        <v>4507</v>
      </c>
      <c r="F329" s="1185">
        <v>4</v>
      </c>
      <c r="G329" s="1186"/>
      <c r="H329" s="1186"/>
      <c r="I329" s="1186"/>
      <c r="J329" s="1186"/>
      <c r="K329" s="1186"/>
      <c r="L329" s="1186"/>
      <c r="M329" s="1186"/>
      <c r="N329" s="1186"/>
      <c r="O329" s="1186"/>
      <c r="P329" s="1186"/>
      <c r="Q329" s="1186"/>
      <c r="R329" s="1186"/>
      <c r="S329" s="1186"/>
      <c r="T329" s="1186"/>
      <c r="U329" s="1186"/>
      <c r="V329" s="1186"/>
      <c r="W329" s="1186">
        <v>10.199999999999999</v>
      </c>
      <c r="X329" s="1186">
        <v>5</v>
      </c>
      <c r="Y329" s="1186">
        <v>9</v>
      </c>
      <c r="Z329" s="1186">
        <v>2.8</v>
      </c>
      <c r="AA329" s="1186">
        <v>13.8</v>
      </c>
      <c r="AB329" s="1186">
        <v>6.7</v>
      </c>
      <c r="AC329" s="1186">
        <v>11.9</v>
      </c>
      <c r="AD329" s="1187">
        <v>3.6</v>
      </c>
    </row>
    <row r="330" spans="1:30" x14ac:dyDescent="0.2">
      <c r="A330">
        <f t="shared" si="38"/>
        <v>8</v>
      </c>
      <c r="B330">
        <v>321</v>
      </c>
      <c r="C330" s="1078">
        <v>3</v>
      </c>
      <c r="D330" s="1077" t="s">
        <v>3597</v>
      </c>
      <c r="E330" s="1077" t="s">
        <v>4508</v>
      </c>
      <c r="F330" s="1185">
        <v>4</v>
      </c>
      <c r="G330" s="1186"/>
      <c r="H330" s="1186"/>
      <c r="I330" s="1186"/>
      <c r="J330" s="1186"/>
      <c r="K330" s="1186"/>
      <c r="L330" s="1186"/>
      <c r="M330" s="1186"/>
      <c r="N330" s="1186"/>
      <c r="O330" s="1186"/>
      <c r="P330" s="1186"/>
      <c r="Q330" s="1186"/>
      <c r="R330" s="1186"/>
      <c r="S330" s="1186"/>
      <c r="T330" s="1186"/>
      <c r="U330" s="1186"/>
      <c r="V330" s="1186"/>
      <c r="W330" s="1186">
        <v>13.5</v>
      </c>
      <c r="X330" s="1186">
        <v>4.9000000000000004</v>
      </c>
      <c r="Y330" s="1186">
        <v>12</v>
      </c>
      <c r="Z330" s="1186">
        <v>2.8</v>
      </c>
      <c r="AA330" s="1186">
        <v>18.3</v>
      </c>
      <c r="AB330" s="1186">
        <v>6.6</v>
      </c>
      <c r="AC330" s="1186">
        <v>15.8</v>
      </c>
      <c r="AD330" s="1187">
        <v>3.6</v>
      </c>
    </row>
    <row r="331" spans="1:30" x14ac:dyDescent="0.2">
      <c r="A331">
        <f t="shared" si="38"/>
        <v>8</v>
      </c>
      <c r="B331">
        <v>322</v>
      </c>
      <c r="C331" s="1078">
        <v>3</v>
      </c>
      <c r="D331" s="1077" t="s">
        <v>3597</v>
      </c>
      <c r="E331" s="1077" t="s">
        <v>4509</v>
      </c>
      <c r="F331" s="1185">
        <v>4</v>
      </c>
      <c r="G331" s="1186"/>
      <c r="H331" s="1186"/>
      <c r="I331" s="1186"/>
      <c r="J331" s="1186"/>
      <c r="K331" s="1186"/>
      <c r="L331" s="1186"/>
      <c r="M331" s="1186"/>
      <c r="N331" s="1186"/>
      <c r="O331" s="1186"/>
      <c r="P331" s="1186"/>
      <c r="Q331" s="1186"/>
      <c r="R331" s="1186"/>
      <c r="S331" s="1186"/>
      <c r="T331" s="1186"/>
      <c r="U331" s="1186"/>
      <c r="V331" s="1186"/>
      <c r="W331" s="1186">
        <v>16.8</v>
      </c>
      <c r="X331" s="1186">
        <v>4.8</v>
      </c>
      <c r="Y331" s="1186">
        <v>15</v>
      </c>
      <c r="Z331" s="1186">
        <v>2.8</v>
      </c>
      <c r="AA331" s="1186">
        <v>22.6</v>
      </c>
      <c r="AB331" s="1186">
        <v>6.3</v>
      </c>
      <c r="AC331" s="1186">
        <v>19.7</v>
      </c>
      <c r="AD331" s="1187">
        <v>3.6</v>
      </c>
    </row>
    <row r="332" spans="1:30" x14ac:dyDescent="0.2">
      <c r="A332">
        <f t="shared" ref="A332:A395" si="39">A331+(D332&lt;&gt;D331)*1</f>
        <v>8</v>
      </c>
      <c r="B332">
        <v>323</v>
      </c>
      <c r="C332" s="1078">
        <v>3</v>
      </c>
      <c r="D332" s="1077" t="s">
        <v>3597</v>
      </c>
      <c r="E332" s="1077" t="s">
        <v>4453</v>
      </c>
      <c r="F332" s="1185">
        <v>4</v>
      </c>
      <c r="G332" s="1186"/>
      <c r="H332" s="1186"/>
      <c r="I332" s="1186"/>
      <c r="J332" s="1186"/>
      <c r="K332" s="1186"/>
      <c r="L332" s="1186"/>
      <c r="M332" s="1186"/>
      <c r="N332" s="1186"/>
      <c r="O332" s="1186"/>
      <c r="P332" s="1186"/>
      <c r="Q332" s="1186"/>
      <c r="R332" s="1186"/>
      <c r="S332" s="1186"/>
      <c r="T332" s="1186"/>
      <c r="U332" s="1186"/>
      <c r="V332" s="1186"/>
      <c r="W332" s="1186">
        <v>20.2</v>
      </c>
      <c r="X332" s="1186">
        <v>4.5999999999999996</v>
      </c>
      <c r="Y332" s="1186">
        <v>17.899999999999999</v>
      </c>
      <c r="Z332" s="1186">
        <v>2.8</v>
      </c>
      <c r="AA332" s="1186">
        <v>26.9</v>
      </c>
      <c r="AB332" s="1186">
        <v>6</v>
      </c>
      <c r="AC332" s="1186">
        <v>23.5</v>
      </c>
      <c r="AD332" s="1187">
        <v>3.5</v>
      </c>
    </row>
    <row r="333" spans="1:30" x14ac:dyDescent="0.2">
      <c r="A333">
        <f t="shared" si="39"/>
        <v>8</v>
      </c>
      <c r="B333">
        <v>324</v>
      </c>
      <c r="C333" s="1078">
        <v>3</v>
      </c>
      <c r="D333" s="1077" t="s">
        <v>3597</v>
      </c>
      <c r="E333" s="1077" t="s">
        <v>4510</v>
      </c>
      <c r="F333" s="1185">
        <v>4</v>
      </c>
      <c r="G333" s="1186"/>
      <c r="H333" s="1186"/>
      <c r="I333" s="1186"/>
      <c r="J333" s="1186"/>
      <c r="K333" s="1186"/>
      <c r="L333" s="1186"/>
      <c r="M333" s="1186"/>
      <c r="N333" s="1186"/>
      <c r="O333" s="1186"/>
      <c r="P333" s="1186"/>
      <c r="Q333" s="1186"/>
      <c r="R333" s="1186"/>
      <c r="S333" s="1186"/>
      <c r="T333" s="1186"/>
      <c r="U333" s="1186"/>
      <c r="V333" s="1186"/>
      <c r="W333" s="1186">
        <v>23.6</v>
      </c>
      <c r="X333" s="1186">
        <v>4.5</v>
      </c>
      <c r="Y333" s="1186">
        <v>20.8</v>
      </c>
      <c r="Z333" s="1186">
        <v>2.7</v>
      </c>
      <c r="AA333" s="1186">
        <v>31.1</v>
      </c>
      <c r="AB333" s="1186">
        <v>5.7</v>
      </c>
      <c r="AC333" s="1186">
        <v>27.3</v>
      </c>
      <c r="AD333" s="1187">
        <v>3.4</v>
      </c>
    </row>
    <row r="334" spans="1:30" x14ac:dyDescent="0.2">
      <c r="A334">
        <f t="shared" si="39"/>
        <v>8</v>
      </c>
      <c r="B334">
        <v>325</v>
      </c>
      <c r="C334" s="1078">
        <v>3</v>
      </c>
      <c r="D334" s="1077" t="s">
        <v>3597</v>
      </c>
      <c r="E334" s="1077" t="s">
        <v>4511</v>
      </c>
      <c r="F334" s="1185">
        <v>4</v>
      </c>
      <c r="G334" s="1186"/>
      <c r="H334" s="1186"/>
      <c r="I334" s="1186"/>
      <c r="J334" s="1186"/>
      <c r="K334" s="1186"/>
      <c r="L334" s="1186"/>
      <c r="M334" s="1186"/>
      <c r="N334" s="1186"/>
      <c r="O334" s="1186"/>
      <c r="P334" s="1186"/>
      <c r="Q334" s="1186"/>
      <c r="R334" s="1186"/>
      <c r="S334" s="1186"/>
      <c r="T334" s="1186"/>
      <c r="U334" s="1186"/>
      <c r="V334" s="1186"/>
      <c r="W334" s="1186">
        <v>27</v>
      </c>
      <c r="X334" s="1186">
        <v>4.4000000000000004</v>
      </c>
      <c r="Y334" s="1186">
        <v>23.7</v>
      </c>
      <c r="Z334" s="1186">
        <v>2.6</v>
      </c>
      <c r="AA334" s="1186">
        <v>35.299999999999997</v>
      </c>
      <c r="AB334" s="1186">
        <v>5.5</v>
      </c>
      <c r="AC334" s="1186">
        <v>31</v>
      </c>
      <c r="AD334" s="1187">
        <v>3.3</v>
      </c>
    </row>
    <row r="335" spans="1:30" x14ac:dyDescent="0.2">
      <c r="A335">
        <f t="shared" si="39"/>
        <v>8</v>
      </c>
      <c r="B335">
        <v>326</v>
      </c>
      <c r="C335" s="1078">
        <v>3</v>
      </c>
      <c r="D335" s="1077" t="s">
        <v>3597</v>
      </c>
      <c r="E335" s="1077" t="s">
        <v>4512</v>
      </c>
      <c r="F335" s="1185">
        <v>4</v>
      </c>
      <c r="G335" s="1186"/>
      <c r="H335" s="1186"/>
      <c r="I335" s="1186"/>
      <c r="J335" s="1186"/>
      <c r="K335" s="1186"/>
      <c r="L335" s="1186"/>
      <c r="M335" s="1186"/>
      <c r="N335" s="1186"/>
      <c r="O335" s="1186"/>
      <c r="P335" s="1186"/>
      <c r="Q335" s="1186"/>
      <c r="R335" s="1186"/>
      <c r="S335" s="1186"/>
      <c r="T335" s="1186"/>
      <c r="U335" s="1186"/>
      <c r="V335" s="1186"/>
      <c r="W335" s="1186">
        <v>30.5</v>
      </c>
      <c r="X335" s="1186">
        <v>4.2</v>
      </c>
      <c r="Y335" s="1186">
        <v>26.5</v>
      </c>
      <c r="Z335" s="1186">
        <v>2.6</v>
      </c>
      <c r="AA335" s="1186">
        <v>39.4</v>
      </c>
      <c r="AB335" s="1186">
        <v>5.2</v>
      </c>
      <c r="AC335" s="1186">
        <v>34.6</v>
      </c>
      <c r="AD335" s="1187">
        <v>3.2</v>
      </c>
    </row>
    <row r="336" spans="1:30" x14ac:dyDescent="0.2">
      <c r="A336">
        <f t="shared" si="39"/>
        <v>8</v>
      </c>
      <c r="B336">
        <v>327</v>
      </c>
      <c r="C336" s="1078">
        <v>3</v>
      </c>
      <c r="D336" s="1077" t="s">
        <v>3597</v>
      </c>
      <c r="E336" s="1077" t="s">
        <v>4513</v>
      </c>
      <c r="F336" s="1185">
        <v>4</v>
      </c>
      <c r="G336" s="1186"/>
      <c r="H336" s="1186"/>
      <c r="I336" s="1186"/>
      <c r="J336" s="1186"/>
      <c r="K336" s="1186"/>
      <c r="L336" s="1186"/>
      <c r="M336" s="1186"/>
      <c r="N336" s="1186"/>
      <c r="O336" s="1186"/>
      <c r="P336" s="1186"/>
      <c r="Q336" s="1186"/>
      <c r="R336" s="1186"/>
      <c r="S336" s="1186"/>
      <c r="T336" s="1186"/>
      <c r="U336" s="1186"/>
      <c r="V336" s="1186"/>
      <c r="W336" s="1186">
        <v>34</v>
      </c>
      <c r="X336" s="1186">
        <v>4.0999999999999996</v>
      </c>
      <c r="Y336" s="1186">
        <v>29.2</v>
      </c>
      <c r="Z336" s="1186">
        <v>2.5</v>
      </c>
      <c r="AA336" s="1186">
        <v>43.6</v>
      </c>
      <c r="AB336" s="1186">
        <v>5</v>
      </c>
      <c r="AC336" s="1186">
        <v>38.200000000000003</v>
      </c>
      <c r="AD336" s="1187">
        <v>3.1</v>
      </c>
    </row>
    <row r="337" spans="1:30" x14ac:dyDescent="0.2">
      <c r="A337">
        <f t="shared" si="39"/>
        <v>8</v>
      </c>
      <c r="B337">
        <v>328</v>
      </c>
      <c r="C337" s="1078">
        <v>3</v>
      </c>
      <c r="D337" s="1077" t="s">
        <v>3597</v>
      </c>
      <c r="E337" s="1077" t="s">
        <v>4025</v>
      </c>
      <c r="F337" s="1185">
        <v>1</v>
      </c>
      <c r="G337" s="1186"/>
      <c r="H337" s="1186"/>
      <c r="I337" s="1186"/>
      <c r="J337" s="1186"/>
      <c r="K337" s="1186"/>
      <c r="L337" s="1186"/>
      <c r="M337" s="1186"/>
      <c r="N337" s="1186"/>
      <c r="O337" s="1186"/>
      <c r="P337" s="1186"/>
      <c r="Q337" s="1186"/>
      <c r="R337" s="1186"/>
      <c r="S337" s="1186"/>
      <c r="T337" s="1186"/>
      <c r="U337" s="1186"/>
      <c r="V337" s="1186"/>
      <c r="W337" s="1186">
        <v>5</v>
      </c>
      <c r="X337" s="1186">
        <v>4.5</v>
      </c>
      <c r="Y337" s="1186">
        <v>4.5999999999999996</v>
      </c>
      <c r="Z337" s="1186">
        <v>2.7</v>
      </c>
      <c r="AA337" s="1186">
        <v>6.7</v>
      </c>
      <c r="AB337" s="1186">
        <v>5.8</v>
      </c>
      <c r="AC337" s="1186">
        <v>6</v>
      </c>
      <c r="AD337" s="1187">
        <v>3.4</v>
      </c>
    </row>
    <row r="338" spans="1:30" x14ac:dyDescent="0.2">
      <c r="A338">
        <f t="shared" si="39"/>
        <v>8</v>
      </c>
      <c r="B338">
        <v>329</v>
      </c>
      <c r="C338" s="1078">
        <v>3</v>
      </c>
      <c r="D338" s="1077" t="s">
        <v>3597</v>
      </c>
      <c r="E338" s="1077" t="s">
        <v>4026</v>
      </c>
      <c r="F338" s="1185">
        <v>1</v>
      </c>
      <c r="G338" s="1186"/>
      <c r="H338" s="1186"/>
      <c r="I338" s="1186"/>
      <c r="J338" s="1186"/>
      <c r="K338" s="1186"/>
      <c r="L338" s="1186"/>
      <c r="M338" s="1186"/>
      <c r="N338" s="1186"/>
      <c r="O338" s="1186"/>
      <c r="P338" s="1186"/>
      <c r="Q338" s="1186"/>
      <c r="R338" s="1186"/>
      <c r="S338" s="1186"/>
      <c r="T338" s="1186"/>
      <c r="U338" s="1186"/>
      <c r="V338" s="1186"/>
      <c r="W338" s="1186">
        <v>5.9</v>
      </c>
      <c r="X338" s="1186">
        <v>4.5</v>
      </c>
      <c r="Y338" s="1186">
        <v>5.3</v>
      </c>
      <c r="Z338" s="1186">
        <v>2.6</v>
      </c>
      <c r="AA338" s="1186">
        <v>7.9</v>
      </c>
      <c r="AB338" s="1186">
        <v>5.8</v>
      </c>
      <c r="AC338" s="1186">
        <v>7</v>
      </c>
      <c r="AD338" s="1187">
        <v>3.3</v>
      </c>
    </row>
    <row r="339" spans="1:30" x14ac:dyDescent="0.2">
      <c r="A339">
        <f t="shared" si="39"/>
        <v>8</v>
      </c>
      <c r="B339">
        <v>330</v>
      </c>
      <c r="C339" s="1078">
        <v>3</v>
      </c>
      <c r="D339" s="1077" t="s">
        <v>3597</v>
      </c>
      <c r="E339" s="1077" t="s">
        <v>4027</v>
      </c>
      <c r="F339" s="1185">
        <v>1</v>
      </c>
      <c r="G339" s="1186"/>
      <c r="H339" s="1186"/>
      <c r="I339" s="1186"/>
      <c r="J339" s="1186"/>
      <c r="K339" s="1186"/>
      <c r="L339" s="1186"/>
      <c r="M339" s="1186"/>
      <c r="N339" s="1186"/>
      <c r="O339" s="1186"/>
      <c r="P339" s="1186"/>
      <c r="Q339" s="1186"/>
      <c r="R339" s="1186"/>
      <c r="S339" s="1186"/>
      <c r="T339" s="1186"/>
      <c r="U339" s="1186"/>
      <c r="V339" s="1186"/>
      <c r="W339" s="1186">
        <v>7.7</v>
      </c>
      <c r="X339" s="1186">
        <v>4.5</v>
      </c>
      <c r="Y339" s="1186">
        <v>7.1</v>
      </c>
      <c r="Z339" s="1186">
        <v>2.7</v>
      </c>
      <c r="AA339" s="1186">
        <v>10.4</v>
      </c>
      <c r="AB339" s="1186">
        <v>6.1</v>
      </c>
      <c r="AC339" s="1186">
        <v>9.1999999999999993</v>
      </c>
      <c r="AD339" s="1187">
        <v>3.4</v>
      </c>
    </row>
    <row r="340" spans="1:30" x14ac:dyDescent="0.2">
      <c r="A340">
        <f t="shared" si="39"/>
        <v>8</v>
      </c>
      <c r="B340">
        <v>331</v>
      </c>
      <c r="C340" s="1078">
        <v>3</v>
      </c>
      <c r="D340" s="1077" t="s">
        <v>3597</v>
      </c>
      <c r="E340" s="1077" t="s">
        <v>4028</v>
      </c>
      <c r="F340" s="1185">
        <v>1</v>
      </c>
      <c r="G340" s="1186"/>
      <c r="H340" s="1186"/>
      <c r="I340" s="1186"/>
      <c r="J340" s="1186"/>
      <c r="K340" s="1186"/>
      <c r="L340" s="1186"/>
      <c r="M340" s="1186"/>
      <c r="N340" s="1186"/>
      <c r="O340" s="1186"/>
      <c r="P340" s="1186"/>
      <c r="Q340" s="1186"/>
      <c r="R340" s="1186"/>
      <c r="S340" s="1186"/>
      <c r="T340" s="1186"/>
      <c r="U340" s="1186"/>
      <c r="V340" s="1186"/>
      <c r="W340" s="1186">
        <v>10.6</v>
      </c>
      <c r="X340" s="1186">
        <v>4.7</v>
      </c>
      <c r="Y340" s="1186">
        <v>9.6</v>
      </c>
      <c r="Z340" s="1186">
        <v>2.8</v>
      </c>
      <c r="AA340" s="1186">
        <v>14.1</v>
      </c>
      <c r="AB340" s="1186">
        <v>6.2</v>
      </c>
      <c r="AC340" s="1186">
        <v>12.4</v>
      </c>
      <c r="AD340" s="1187">
        <v>3.5</v>
      </c>
    </row>
    <row r="341" spans="1:30" x14ac:dyDescent="0.2">
      <c r="A341">
        <f t="shared" si="39"/>
        <v>8</v>
      </c>
      <c r="B341">
        <v>332</v>
      </c>
      <c r="C341" s="1078">
        <v>3</v>
      </c>
      <c r="D341" s="1077" t="s">
        <v>3597</v>
      </c>
      <c r="E341" s="1077" t="s">
        <v>4029</v>
      </c>
      <c r="F341" s="1185">
        <v>1</v>
      </c>
      <c r="G341" s="1186"/>
      <c r="H341" s="1186"/>
      <c r="I341" s="1186"/>
      <c r="J341" s="1186"/>
      <c r="K341" s="1186"/>
      <c r="L341" s="1186"/>
      <c r="M341" s="1186"/>
      <c r="N341" s="1186"/>
      <c r="O341" s="1186"/>
      <c r="P341" s="1186"/>
      <c r="Q341" s="1186"/>
      <c r="R341" s="1186"/>
      <c r="S341" s="1186"/>
      <c r="T341" s="1186"/>
      <c r="U341" s="1186"/>
      <c r="V341" s="1186"/>
      <c r="W341" s="1186">
        <v>13.8</v>
      </c>
      <c r="X341" s="1186">
        <v>4.7</v>
      </c>
      <c r="Y341" s="1186">
        <v>12.4</v>
      </c>
      <c r="Z341" s="1186">
        <v>2.8</v>
      </c>
      <c r="AA341" s="1186">
        <v>18.399999999999999</v>
      </c>
      <c r="AB341" s="1186">
        <v>6.1</v>
      </c>
      <c r="AC341" s="1186">
        <v>16</v>
      </c>
      <c r="AD341" s="1187">
        <v>3.5</v>
      </c>
    </row>
    <row r="342" spans="1:30" x14ac:dyDescent="0.2">
      <c r="A342">
        <f t="shared" si="39"/>
        <v>8</v>
      </c>
      <c r="B342">
        <v>333</v>
      </c>
      <c r="C342" s="1078">
        <v>3</v>
      </c>
      <c r="D342" s="1077" t="s">
        <v>3597</v>
      </c>
      <c r="E342" s="1077" t="s">
        <v>4030</v>
      </c>
      <c r="F342" s="1185">
        <v>1</v>
      </c>
      <c r="G342" s="1186"/>
      <c r="H342" s="1186"/>
      <c r="I342" s="1186"/>
      <c r="J342" s="1186"/>
      <c r="K342" s="1186"/>
      <c r="L342" s="1186"/>
      <c r="M342" s="1186"/>
      <c r="N342" s="1186"/>
      <c r="O342" s="1186"/>
      <c r="P342" s="1186"/>
      <c r="Q342" s="1186"/>
      <c r="R342" s="1186"/>
      <c r="S342" s="1186"/>
      <c r="T342" s="1186"/>
      <c r="U342" s="1186"/>
      <c r="V342" s="1186"/>
      <c r="W342" s="1186">
        <v>17.8</v>
      </c>
      <c r="X342" s="1186">
        <v>4.5</v>
      </c>
      <c r="Y342" s="1186">
        <v>16.2</v>
      </c>
      <c r="Z342" s="1186">
        <v>2.7</v>
      </c>
      <c r="AA342" s="1186">
        <v>23.9</v>
      </c>
      <c r="AB342" s="1186">
        <v>5.7</v>
      </c>
      <c r="AC342" s="1186">
        <v>21</v>
      </c>
      <c r="AD342" s="1187">
        <v>3.4</v>
      </c>
    </row>
    <row r="343" spans="1:30" x14ac:dyDescent="0.2">
      <c r="A343">
        <f t="shared" si="39"/>
        <v>8</v>
      </c>
      <c r="B343">
        <v>334</v>
      </c>
      <c r="C343" s="1078">
        <v>3</v>
      </c>
      <c r="D343" s="1077" t="s">
        <v>3597</v>
      </c>
      <c r="E343" s="1077" t="s">
        <v>4031</v>
      </c>
      <c r="F343" s="1185">
        <v>1</v>
      </c>
      <c r="G343" s="1186"/>
      <c r="H343" s="1186"/>
      <c r="I343" s="1186"/>
      <c r="J343" s="1186"/>
      <c r="K343" s="1186"/>
      <c r="L343" s="1186"/>
      <c r="M343" s="1186"/>
      <c r="N343" s="1186"/>
      <c r="O343" s="1186"/>
      <c r="P343" s="1186"/>
      <c r="Q343" s="1186"/>
      <c r="R343" s="1186"/>
      <c r="S343" s="1186"/>
      <c r="T343" s="1186"/>
      <c r="U343" s="1186"/>
      <c r="V343" s="1186"/>
      <c r="W343" s="1186">
        <v>21.5</v>
      </c>
      <c r="X343" s="1186">
        <v>4.5</v>
      </c>
      <c r="Y343" s="1186">
        <v>18.600000000000001</v>
      </c>
      <c r="Z343" s="1186">
        <v>2.7</v>
      </c>
      <c r="AA343" s="1186">
        <v>28.1</v>
      </c>
      <c r="AB343" s="1186">
        <v>5.7</v>
      </c>
      <c r="AC343" s="1186">
        <v>25.2</v>
      </c>
      <c r="AD343" s="1187">
        <v>3.5</v>
      </c>
    </row>
    <row r="344" spans="1:30" x14ac:dyDescent="0.2">
      <c r="A344">
        <f t="shared" si="39"/>
        <v>8</v>
      </c>
      <c r="B344">
        <v>335</v>
      </c>
      <c r="C344" s="1078">
        <v>3</v>
      </c>
      <c r="D344" s="1077" t="s">
        <v>3597</v>
      </c>
      <c r="E344" s="1077" t="s">
        <v>4032</v>
      </c>
      <c r="F344" s="1185">
        <v>1</v>
      </c>
      <c r="G344" s="1186"/>
      <c r="H344" s="1186"/>
      <c r="I344" s="1186"/>
      <c r="J344" s="1186"/>
      <c r="K344" s="1186"/>
      <c r="L344" s="1186"/>
      <c r="M344" s="1186"/>
      <c r="N344" s="1186"/>
      <c r="O344" s="1186"/>
      <c r="P344" s="1186"/>
      <c r="Q344" s="1186"/>
      <c r="R344" s="1186"/>
      <c r="S344" s="1186"/>
      <c r="T344" s="1186"/>
      <c r="U344" s="1186"/>
      <c r="V344" s="1186"/>
      <c r="W344" s="1186">
        <v>24.6</v>
      </c>
      <c r="X344" s="1186">
        <v>4.5999999999999996</v>
      </c>
      <c r="Y344" s="1186">
        <v>21.1</v>
      </c>
      <c r="Z344" s="1186">
        <v>2.6</v>
      </c>
      <c r="AA344" s="1186">
        <v>32.200000000000003</v>
      </c>
      <c r="AB344" s="1186">
        <v>5.8</v>
      </c>
      <c r="AC344" s="1186">
        <v>28.9</v>
      </c>
      <c r="AD344" s="1187">
        <v>3.5</v>
      </c>
    </row>
    <row r="345" spans="1:30" x14ac:dyDescent="0.2">
      <c r="A345">
        <f t="shared" si="39"/>
        <v>8</v>
      </c>
      <c r="B345">
        <v>336</v>
      </c>
      <c r="C345" s="1078">
        <v>3</v>
      </c>
      <c r="D345" s="1077" t="s">
        <v>3597</v>
      </c>
      <c r="E345" s="1077" t="s">
        <v>4033</v>
      </c>
      <c r="F345" s="1185">
        <v>1</v>
      </c>
      <c r="G345" s="1186"/>
      <c r="H345" s="1186"/>
      <c r="I345" s="1186"/>
      <c r="J345" s="1186"/>
      <c r="K345" s="1186"/>
      <c r="L345" s="1186"/>
      <c r="M345" s="1186"/>
      <c r="N345" s="1186"/>
      <c r="O345" s="1186"/>
      <c r="P345" s="1186"/>
      <c r="Q345" s="1186"/>
      <c r="R345" s="1186"/>
      <c r="S345" s="1186"/>
      <c r="T345" s="1186"/>
      <c r="U345" s="1186"/>
      <c r="V345" s="1186"/>
      <c r="W345" s="1186">
        <v>29.1</v>
      </c>
      <c r="X345" s="1186">
        <v>4.7</v>
      </c>
      <c r="Y345" s="1186">
        <v>24.6</v>
      </c>
      <c r="Z345" s="1186">
        <v>2.6</v>
      </c>
      <c r="AA345" s="1186">
        <v>37.9</v>
      </c>
      <c r="AB345" s="1186">
        <v>5.9</v>
      </c>
      <c r="AC345" s="1186">
        <v>34.1</v>
      </c>
      <c r="AD345" s="1187">
        <v>3.7</v>
      </c>
    </row>
    <row r="346" spans="1:30" x14ac:dyDescent="0.2">
      <c r="A346">
        <f t="shared" si="39"/>
        <v>8</v>
      </c>
      <c r="B346">
        <v>337</v>
      </c>
      <c r="C346" s="1078">
        <v>3</v>
      </c>
      <c r="D346" s="1077" t="s">
        <v>3597</v>
      </c>
      <c r="E346" s="1077" t="s">
        <v>4034</v>
      </c>
      <c r="F346" s="1185">
        <v>1</v>
      </c>
      <c r="G346" s="1186"/>
      <c r="H346" s="1186"/>
      <c r="I346" s="1186"/>
      <c r="J346" s="1186"/>
      <c r="K346" s="1186"/>
      <c r="L346" s="1186"/>
      <c r="M346" s="1186"/>
      <c r="N346" s="1186"/>
      <c r="O346" s="1186"/>
      <c r="P346" s="1186"/>
      <c r="Q346" s="1186"/>
      <c r="R346" s="1186"/>
      <c r="S346" s="1186"/>
      <c r="T346" s="1186"/>
      <c r="U346" s="1186"/>
      <c r="V346" s="1186"/>
      <c r="W346" s="1186">
        <v>32.9</v>
      </c>
      <c r="X346" s="1186">
        <v>4.5999999999999996</v>
      </c>
      <c r="Y346" s="1186">
        <v>27.7</v>
      </c>
      <c r="Z346" s="1186">
        <v>2.6</v>
      </c>
      <c r="AA346" s="1186">
        <v>42.9</v>
      </c>
      <c r="AB346" s="1186">
        <v>5.8</v>
      </c>
      <c r="AC346" s="1186">
        <v>38.4</v>
      </c>
      <c r="AD346" s="1187">
        <v>3.6</v>
      </c>
    </row>
    <row r="347" spans="1:30" x14ac:dyDescent="0.2">
      <c r="A347">
        <f t="shared" si="39"/>
        <v>8</v>
      </c>
      <c r="B347">
        <v>338</v>
      </c>
      <c r="C347" s="1081">
        <v>3</v>
      </c>
      <c r="D347" s="1082" t="s">
        <v>3597</v>
      </c>
      <c r="E347" s="1082" t="s">
        <v>4035</v>
      </c>
      <c r="F347" s="1188">
        <v>2</v>
      </c>
      <c r="G347" s="1189"/>
      <c r="H347" s="1189"/>
      <c r="I347" s="1189"/>
      <c r="J347" s="1189"/>
      <c r="K347" s="1189"/>
      <c r="L347" s="1189"/>
      <c r="M347" s="1189"/>
      <c r="N347" s="1189"/>
      <c r="O347" s="1189"/>
      <c r="P347" s="1189"/>
      <c r="Q347" s="1189"/>
      <c r="R347" s="1189"/>
      <c r="S347" s="1189"/>
      <c r="T347" s="1189"/>
      <c r="U347" s="1189"/>
      <c r="V347" s="1189"/>
      <c r="W347" s="1189">
        <v>20.8</v>
      </c>
      <c r="X347" s="1189">
        <v>4.7</v>
      </c>
      <c r="Y347" s="1189">
        <v>19.600000000000001</v>
      </c>
      <c r="Z347" s="1189">
        <v>2.9</v>
      </c>
      <c r="AA347" s="1189">
        <v>27.5</v>
      </c>
      <c r="AB347" s="1189">
        <v>6.2</v>
      </c>
      <c r="AC347" s="1189">
        <v>25.4</v>
      </c>
      <c r="AD347" s="1194">
        <v>3.7</v>
      </c>
    </row>
    <row r="348" spans="1:30" x14ac:dyDescent="0.2">
      <c r="A348">
        <f t="shared" si="39"/>
        <v>8</v>
      </c>
      <c r="B348">
        <v>339</v>
      </c>
      <c r="C348" s="1190">
        <v>3</v>
      </c>
      <c r="D348" s="1191" t="s">
        <v>3597</v>
      </c>
      <c r="E348" s="1191" t="s">
        <v>4036</v>
      </c>
      <c r="F348" s="1192">
        <v>2</v>
      </c>
      <c r="G348" s="1193"/>
      <c r="H348" s="1193"/>
      <c r="I348" s="1193"/>
      <c r="J348" s="1193"/>
      <c r="K348" s="1193"/>
      <c r="L348" s="1193"/>
      <c r="M348" s="1193"/>
      <c r="N348" s="1193"/>
      <c r="O348" s="1193"/>
      <c r="P348" s="1193"/>
      <c r="Q348" s="1193"/>
      <c r="R348" s="1193"/>
      <c r="S348" s="1193"/>
      <c r="T348" s="1193"/>
      <c r="U348" s="1193"/>
      <c r="V348" s="1193"/>
      <c r="W348" s="1193">
        <v>27.1</v>
      </c>
      <c r="X348" s="1193">
        <v>4.7</v>
      </c>
      <c r="Y348" s="1193">
        <v>25.1</v>
      </c>
      <c r="Z348" s="1193">
        <v>2.9</v>
      </c>
      <c r="AA348" s="1193">
        <v>35.799999999999997</v>
      </c>
      <c r="AB348" s="1193">
        <v>6.1</v>
      </c>
      <c r="AC348" s="1193">
        <v>33</v>
      </c>
      <c r="AD348" s="1195">
        <v>3.7</v>
      </c>
    </row>
    <row r="349" spans="1:30" x14ac:dyDescent="0.2">
      <c r="A349">
        <f t="shared" si="39"/>
        <v>8</v>
      </c>
      <c r="B349">
        <v>340</v>
      </c>
      <c r="C349" s="1078">
        <v>3</v>
      </c>
      <c r="D349" s="1077" t="s">
        <v>3597</v>
      </c>
      <c r="E349" s="1077" t="s">
        <v>4037</v>
      </c>
      <c r="F349" s="1185">
        <v>2</v>
      </c>
      <c r="G349" s="1186"/>
      <c r="H349" s="1186"/>
      <c r="I349" s="1186"/>
      <c r="J349" s="1186"/>
      <c r="K349" s="1186"/>
      <c r="L349" s="1186"/>
      <c r="M349" s="1186"/>
      <c r="N349" s="1186"/>
      <c r="O349" s="1186"/>
      <c r="P349" s="1186"/>
      <c r="Q349" s="1186"/>
      <c r="R349" s="1186"/>
      <c r="S349" s="1186"/>
      <c r="T349" s="1186"/>
      <c r="U349" s="1186"/>
      <c r="V349" s="1186"/>
      <c r="W349" s="1186">
        <v>35</v>
      </c>
      <c r="X349" s="1186">
        <v>4.5</v>
      </c>
      <c r="Y349" s="1186">
        <v>32.799999999999997</v>
      </c>
      <c r="Z349" s="1186">
        <v>2.9</v>
      </c>
      <c r="AA349" s="1186">
        <v>46.5</v>
      </c>
      <c r="AB349" s="1186">
        <v>5.9</v>
      </c>
      <c r="AC349" s="1186">
        <v>43.3</v>
      </c>
      <c r="AD349" s="1187">
        <v>3.6</v>
      </c>
    </row>
    <row r="350" spans="1:30" x14ac:dyDescent="0.2">
      <c r="A350">
        <f t="shared" si="39"/>
        <v>8</v>
      </c>
      <c r="B350">
        <v>341</v>
      </c>
      <c r="C350" s="1078">
        <v>3</v>
      </c>
      <c r="D350" s="1077" t="s">
        <v>3597</v>
      </c>
      <c r="E350" s="1077" t="s">
        <v>4038</v>
      </c>
      <c r="F350" s="1185">
        <v>2</v>
      </c>
      <c r="G350" s="1186"/>
      <c r="H350" s="1186"/>
      <c r="I350" s="1186"/>
      <c r="J350" s="1186"/>
      <c r="K350" s="1186"/>
      <c r="L350" s="1186"/>
      <c r="M350" s="1186"/>
      <c r="N350" s="1186"/>
      <c r="O350" s="1186"/>
      <c r="P350" s="1186"/>
      <c r="Q350" s="1186"/>
      <c r="R350" s="1186"/>
      <c r="S350" s="1186"/>
      <c r="T350" s="1186"/>
      <c r="U350" s="1186"/>
      <c r="V350" s="1186"/>
      <c r="W350" s="1186">
        <v>44</v>
      </c>
      <c r="X350" s="1186">
        <v>4.7</v>
      </c>
      <c r="Y350" s="1186">
        <v>39</v>
      </c>
      <c r="Z350" s="1186">
        <v>2.9</v>
      </c>
      <c r="AA350" s="1186">
        <v>58</v>
      </c>
      <c r="AB350" s="1186">
        <v>6</v>
      </c>
      <c r="AC350" s="1186">
        <v>53</v>
      </c>
      <c r="AD350" s="1187">
        <v>3.8</v>
      </c>
    </row>
    <row r="351" spans="1:30" x14ac:dyDescent="0.2">
      <c r="A351">
        <f t="shared" si="39"/>
        <v>8</v>
      </c>
      <c r="B351">
        <v>342</v>
      </c>
      <c r="C351" s="1081">
        <v>3</v>
      </c>
      <c r="D351" s="1082" t="s">
        <v>3597</v>
      </c>
      <c r="E351" s="1082" t="s">
        <v>4039</v>
      </c>
      <c r="F351" s="1188">
        <v>2</v>
      </c>
      <c r="G351" s="1189"/>
      <c r="H351" s="1189"/>
      <c r="I351" s="1189"/>
      <c r="J351" s="1189"/>
      <c r="K351" s="1189"/>
      <c r="L351" s="1189"/>
      <c r="M351" s="1189"/>
      <c r="N351" s="1189"/>
      <c r="O351" s="1189"/>
      <c r="P351" s="1189"/>
      <c r="Q351" s="1189"/>
      <c r="R351" s="1189"/>
      <c r="S351" s="1189"/>
      <c r="T351" s="1189"/>
      <c r="U351" s="1189"/>
      <c r="V351" s="1189"/>
      <c r="W351" s="1189">
        <v>50</v>
      </c>
      <c r="X351" s="1189">
        <v>4.7</v>
      </c>
      <c r="Y351" s="1189">
        <v>45</v>
      </c>
      <c r="Z351" s="1189">
        <v>2.8</v>
      </c>
      <c r="AA351" s="1189">
        <v>67</v>
      </c>
      <c r="AB351" s="1189">
        <v>6.1</v>
      </c>
      <c r="AC351" s="1189">
        <v>61</v>
      </c>
      <c r="AD351" s="1194">
        <v>3.8</v>
      </c>
    </row>
    <row r="352" spans="1:30" x14ac:dyDescent="0.2">
      <c r="A352">
        <f t="shared" si="39"/>
        <v>8</v>
      </c>
      <c r="B352">
        <v>343</v>
      </c>
      <c r="C352" s="1190">
        <v>3</v>
      </c>
      <c r="D352" s="1191" t="s">
        <v>3597</v>
      </c>
      <c r="E352" s="1191" t="s">
        <v>4040</v>
      </c>
      <c r="F352" s="1192">
        <v>2</v>
      </c>
      <c r="G352" s="1193"/>
      <c r="H352" s="1193"/>
      <c r="I352" s="1193"/>
      <c r="J352" s="1193"/>
      <c r="K352" s="1193"/>
      <c r="L352" s="1193"/>
      <c r="M352" s="1193"/>
      <c r="N352" s="1193"/>
      <c r="O352" s="1193"/>
      <c r="P352" s="1193"/>
      <c r="Q352" s="1193"/>
      <c r="R352" s="1193"/>
      <c r="S352" s="1193"/>
      <c r="T352" s="1193"/>
      <c r="U352" s="1193"/>
      <c r="V352" s="1193"/>
      <c r="W352" s="1193">
        <v>58</v>
      </c>
      <c r="X352" s="1193">
        <v>4.8</v>
      </c>
      <c r="Y352" s="1193">
        <v>52</v>
      </c>
      <c r="Z352" s="1193">
        <v>2.8</v>
      </c>
      <c r="AA352" s="1193">
        <v>77</v>
      </c>
      <c r="AB352" s="1193">
        <v>6.2</v>
      </c>
      <c r="AC352" s="1193">
        <v>69</v>
      </c>
      <c r="AD352" s="1195">
        <v>3.7</v>
      </c>
    </row>
    <row r="353" spans="1:30" x14ac:dyDescent="0.2">
      <c r="A353">
        <f t="shared" si="39"/>
        <v>8</v>
      </c>
      <c r="B353">
        <v>344</v>
      </c>
      <c r="C353" s="1078">
        <v>3</v>
      </c>
      <c r="D353" s="1077" t="s">
        <v>3597</v>
      </c>
      <c r="E353" s="1077" t="s">
        <v>4041</v>
      </c>
      <c r="F353" s="1185">
        <v>2</v>
      </c>
      <c r="G353" s="1186"/>
      <c r="H353" s="1186"/>
      <c r="I353" s="1186"/>
      <c r="J353" s="1186"/>
      <c r="K353" s="1186"/>
      <c r="L353" s="1186"/>
      <c r="M353" s="1186"/>
      <c r="N353" s="1186"/>
      <c r="O353" s="1186"/>
      <c r="P353" s="1186"/>
      <c r="Q353" s="1186"/>
      <c r="R353" s="1186"/>
      <c r="S353" s="1186"/>
      <c r="T353" s="1186"/>
      <c r="U353" s="1186"/>
      <c r="V353" s="1186"/>
      <c r="W353" s="1186">
        <v>64</v>
      </c>
      <c r="X353" s="1186">
        <v>4.7</v>
      </c>
      <c r="Y353" s="1186">
        <v>57</v>
      </c>
      <c r="Z353" s="1186">
        <v>2.8</v>
      </c>
      <c r="AA353" s="1186">
        <v>86</v>
      </c>
      <c r="AB353" s="1186">
        <v>6</v>
      </c>
      <c r="AC353" s="1186">
        <v>77</v>
      </c>
      <c r="AD353" s="1187">
        <v>3.7</v>
      </c>
    </row>
    <row r="354" spans="1:30" x14ac:dyDescent="0.2">
      <c r="A354">
        <f t="shared" si="39"/>
        <v>8</v>
      </c>
      <c r="B354">
        <v>345</v>
      </c>
      <c r="C354" s="1078">
        <v>3</v>
      </c>
      <c r="D354" s="1077" t="s">
        <v>3597</v>
      </c>
      <c r="E354" s="1077" t="s">
        <v>4042</v>
      </c>
      <c r="F354" s="1185">
        <v>2</v>
      </c>
      <c r="G354" s="1186"/>
      <c r="H354" s="1186"/>
      <c r="I354" s="1186"/>
      <c r="J354" s="1186"/>
      <c r="K354" s="1186"/>
      <c r="L354" s="1186"/>
      <c r="M354" s="1186"/>
      <c r="N354" s="1186"/>
      <c r="O354" s="1186"/>
      <c r="P354" s="1186"/>
      <c r="Q354" s="1186"/>
      <c r="R354" s="1186"/>
      <c r="S354" s="1186"/>
      <c r="T354" s="1186"/>
      <c r="U354" s="1186"/>
      <c r="V354" s="1186"/>
      <c r="W354" s="1186">
        <v>72</v>
      </c>
      <c r="X354" s="1186">
        <v>4.5999999999999996</v>
      </c>
      <c r="Y354" s="1186">
        <v>65</v>
      </c>
      <c r="Z354" s="1186">
        <v>2.9</v>
      </c>
      <c r="AA354" s="1186">
        <v>97</v>
      </c>
      <c r="AB354" s="1186">
        <v>5.9</v>
      </c>
      <c r="AC354" s="1186">
        <v>87</v>
      </c>
      <c r="AD354" s="1187">
        <v>3.7</v>
      </c>
    </row>
    <row r="355" spans="1:30" x14ac:dyDescent="0.2">
      <c r="A355">
        <f t="shared" si="39"/>
        <v>8</v>
      </c>
      <c r="B355">
        <v>346</v>
      </c>
      <c r="C355" s="1078">
        <v>3</v>
      </c>
      <c r="D355" s="1077" t="s">
        <v>3597</v>
      </c>
      <c r="E355" s="1077" t="s">
        <v>4043</v>
      </c>
      <c r="F355" s="1185">
        <v>2</v>
      </c>
      <c r="G355" s="1186"/>
      <c r="H355" s="1186"/>
      <c r="I355" s="1186"/>
      <c r="J355" s="1186"/>
      <c r="K355" s="1186"/>
      <c r="L355" s="1186"/>
      <c r="M355" s="1186"/>
      <c r="N355" s="1186"/>
      <c r="O355" s="1186"/>
      <c r="P355" s="1186"/>
      <c r="Q355" s="1186"/>
      <c r="R355" s="1186"/>
      <c r="S355" s="1186"/>
      <c r="T355" s="1186"/>
      <c r="U355" s="1186"/>
      <c r="V355" s="1186"/>
      <c r="W355" s="1186">
        <v>85</v>
      </c>
      <c r="X355" s="1186">
        <v>4.5999999999999996</v>
      </c>
      <c r="Y355" s="1186">
        <v>77</v>
      </c>
      <c r="Z355" s="1186">
        <v>2.9</v>
      </c>
      <c r="AA355" s="1186">
        <v>113</v>
      </c>
      <c r="AB355" s="1186">
        <v>5.8</v>
      </c>
      <c r="AC355" s="1186">
        <v>102</v>
      </c>
      <c r="AD355" s="1187">
        <v>3.7</v>
      </c>
    </row>
    <row r="356" spans="1:30" x14ac:dyDescent="0.2">
      <c r="A356">
        <f t="shared" si="39"/>
        <v>8</v>
      </c>
      <c r="B356">
        <v>347</v>
      </c>
      <c r="C356" s="1078">
        <v>3</v>
      </c>
      <c r="D356" s="1077" t="s">
        <v>3597</v>
      </c>
      <c r="E356" s="1077" t="s">
        <v>4044</v>
      </c>
      <c r="F356" s="1185">
        <v>2</v>
      </c>
      <c r="G356" s="1186"/>
      <c r="H356" s="1186"/>
      <c r="I356" s="1186"/>
      <c r="J356" s="1186"/>
      <c r="K356" s="1186"/>
      <c r="L356" s="1186"/>
      <c r="M356" s="1186"/>
      <c r="N356" s="1186"/>
      <c r="O356" s="1186"/>
      <c r="P356" s="1186"/>
      <c r="Q356" s="1186"/>
      <c r="R356" s="1186"/>
      <c r="S356" s="1186"/>
      <c r="T356" s="1186"/>
      <c r="U356" s="1186"/>
      <c r="V356" s="1186"/>
      <c r="W356" s="1186">
        <v>100</v>
      </c>
      <c r="X356" s="1186">
        <v>4.7</v>
      </c>
      <c r="Y356" s="1186">
        <v>91</v>
      </c>
      <c r="Z356" s="1186">
        <v>2.9</v>
      </c>
      <c r="AA356" s="1186">
        <v>129</v>
      </c>
      <c r="AB356" s="1186">
        <v>5.9</v>
      </c>
      <c r="AC356" s="1186">
        <v>119</v>
      </c>
      <c r="AD356" s="1187">
        <v>3.7</v>
      </c>
    </row>
    <row r="357" spans="1:30" x14ac:dyDescent="0.2">
      <c r="A357">
        <f t="shared" si="39"/>
        <v>8</v>
      </c>
      <c r="B357">
        <v>348</v>
      </c>
      <c r="C357" s="1078">
        <v>3</v>
      </c>
      <c r="D357" s="1077" t="s">
        <v>3597</v>
      </c>
      <c r="E357" s="1077" t="s">
        <v>4045</v>
      </c>
      <c r="F357" s="1185">
        <v>2</v>
      </c>
      <c r="G357" s="1186"/>
      <c r="H357" s="1186"/>
      <c r="I357" s="1186"/>
      <c r="J357" s="1186"/>
      <c r="K357" s="1186"/>
      <c r="L357" s="1186"/>
      <c r="M357" s="1186"/>
      <c r="N357" s="1186"/>
      <c r="O357" s="1186"/>
      <c r="P357" s="1186"/>
      <c r="Q357" s="1186"/>
      <c r="R357" s="1186"/>
      <c r="S357" s="1186"/>
      <c r="T357" s="1186"/>
      <c r="U357" s="1186"/>
      <c r="V357" s="1186"/>
      <c r="W357" s="1186">
        <v>111</v>
      </c>
      <c r="X357" s="1186">
        <v>4.5999999999999996</v>
      </c>
      <c r="Y357" s="1186">
        <v>102</v>
      </c>
      <c r="Z357" s="1186">
        <v>2.9</v>
      </c>
      <c r="AA357" s="1186">
        <v>144</v>
      </c>
      <c r="AB357" s="1186">
        <v>5.9</v>
      </c>
      <c r="AC357" s="1186">
        <v>133</v>
      </c>
      <c r="AD357" s="1187">
        <v>3.6</v>
      </c>
    </row>
    <row r="358" spans="1:30" x14ac:dyDescent="0.2">
      <c r="A358">
        <f t="shared" si="39"/>
        <v>8</v>
      </c>
      <c r="B358">
        <v>349</v>
      </c>
      <c r="C358" s="1078">
        <v>3</v>
      </c>
      <c r="D358" s="1077" t="s">
        <v>3597</v>
      </c>
      <c r="E358" s="1077" t="s">
        <v>4046</v>
      </c>
      <c r="F358" s="1185">
        <v>2</v>
      </c>
      <c r="G358" s="1186"/>
      <c r="H358" s="1186"/>
      <c r="I358" s="1186"/>
      <c r="J358" s="1186"/>
      <c r="K358" s="1186"/>
      <c r="L358" s="1186"/>
      <c r="M358" s="1186"/>
      <c r="N358" s="1186"/>
      <c r="O358" s="1186"/>
      <c r="P358" s="1186"/>
      <c r="Q358" s="1186"/>
      <c r="R358" s="1186"/>
      <c r="S358" s="1186"/>
      <c r="T358" s="1186"/>
      <c r="U358" s="1186"/>
      <c r="V358" s="1186"/>
      <c r="W358" s="1186">
        <v>127</v>
      </c>
      <c r="X358" s="1186">
        <v>4.5999999999999996</v>
      </c>
      <c r="Y358" s="1186">
        <v>116</v>
      </c>
      <c r="Z358" s="1186">
        <v>2.9</v>
      </c>
      <c r="AA358" s="1186">
        <v>163</v>
      </c>
      <c r="AB358" s="1186">
        <v>5.9</v>
      </c>
      <c r="AC358" s="1186">
        <v>150</v>
      </c>
      <c r="AD358" s="1187">
        <v>3.6</v>
      </c>
    </row>
    <row r="359" spans="1:30" x14ac:dyDescent="0.2">
      <c r="A359">
        <f t="shared" si="39"/>
        <v>8</v>
      </c>
      <c r="B359">
        <v>350</v>
      </c>
      <c r="C359" s="1078">
        <v>3</v>
      </c>
      <c r="D359" s="1077" t="s">
        <v>3597</v>
      </c>
      <c r="E359" s="1077" t="s">
        <v>4047</v>
      </c>
      <c r="F359" s="1185">
        <v>2</v>
      </c>
      <c r="G359" s="1186"/>
      <c r="H359" s="1186"/>
      <c r="I359" s="1186"/>
      <c r="J359" s="1186"/>
      <c r="K359" s="1186"/>
      <c r="L359" s="1186"/>
      <c r="M359" s="1186"/>
      <c r="N359" s="1186"/>
      <c r="O359" s="1186"/>
      <c r="P359" s="1186"/>
      <c r="Q359" s="1186"/>
      <c r="R359" s="1186"/>
      <c r="S359" s="1186"/>
      <c r="T359" s="1186"/>
      <c r="U359" s="1186"/>
      <c r="V359" s="1186"/>
      <c r="W359" s="1186">
        <v>140</v>
      </c>
      <c r="X359" s="1186">
        <v>4.5999999999999996</v>
      </c>
      <c r="Y359" s="1186">
        <v>130</v>
      </c>
      <c r="Z359" s="1186">
        <v>2.9</v>
      </c>
      <c r="AA359" s="1186">
        <v>180</v>
      </c>
      <c r="AB359" s="1186">
        <v>5.8</v>
      </c>
      <c r="AC359" s="1186">
        <v>167</v>
      </c>
      <c r="AD359" s="1187">
        <v>3.6</v>
      </c>
    </row>
    <row r="360" spans="1:30" x14ac:dyDescent="0.2">
      <c r="A360">
        <f t="shared" si="39"/>
        <v>8</v>
      </c>
      <c r="B360">
        <v>351</v>
      </c>
      <c r="C360" s="1078">
        <v>3</v>
      </c>
      <c r="D360" s="1077" t="s">
        <v>3597</v>
      </c>
      <c r="E360" s="1077" t="s">
        <v>4048</v>
      </c>
      <c r="F360" s="1185">
        <v>2</v>
      </c>
      <c r="G360" s="1186"/>
      <c r="H360" s="1186"/>
      <c r="I360" s="1186"/>
      <c r="J360" s="1186"/>
      <c r="K360" s="1186"/>
      <c r="L360" s="1186"/>
      <c r="M360" s="1186"/>
      <c r="N360" s="1186"/>
      <c r="O360" s="1186"/>
      <c r="P360" s="1186"/>
      <c r="Q360" s="1186"/>
      <c r="R360" s="1186"/>
      <c r="S360" s="1186"/>
      <c r="T360" s="1186"/>
      <c r="U360" s="1186"/>
      <c r="V360" s="1186"/>
      <c r="W360" s="1186">
        <v>161</v>
      </c>
      <c r="X360" s="1186">
        <v>4.5999999999999996</v>
      </c>
      <c r="Y360" s="1186">
        <v>149</v>
      </c>
      <c r="Z360" s="1186">
        <v>2.9</v>
      </c>
      <c r="AA360" s="1186">
        <v>205</v>
      </c>
      <c r="AB360" s="1186">
        <v>5.8</v>
      </c>
      <c r="AC360" s="1186">
        <v>192</v>
      </c>
      <c r="AD360" s="1187">
        <v>3.6</v>
      </c>
    </row>
    <row r="361" spans="1:30" x14ac:dyDescent="0.2">
      <c r="A361">
        <f t="shared" si="39"/>
        <v>8</v>
      </c>
      <c r="B361">
        <v>352</v>
      </c>
      <c r="C361" s="1078">
        <v>3</v>
      </c>
      <c r="D361" s="1077" t="s">
        <v>3597</v>
      </c>
      <c r="E361" s="1077" t="s">
        <v>4049</v>
      </c>
      <c r="F361" s="1185">
        <v>2</v>
      </c>
      <c r="G361" s="1186"/>
      <c r="H361" s="1186"/>
      <c r="I361" s="1186"/>
      <c r="J361" s="1186"/>
      <c r="K361" s="1186"/>
      <c r="L361" s="1186"/>
      <c r="M361" s="1186"/>
      <c r="N361" s="1186"/>
      <c r="O361" s="1186"/>
      <c r="P361" s="1186"/>
      <c r="Q361" s="1186"/>
      <c r="R361" s="1186"/>
      <c r="S361" s="1186"/>
      <c r="T361" s="1186"/>
      <c r="U361" s="1186"/>
      <c r="V361" s="1186"/>
      <c r="W361" s="1186">
        <v>180</v>
      </c>
      <c r="X361" s="1186">
        <v>4.5999999999999996</v>
      </c>
      <c r="Y361" s="1186">
        <v>167</v>
      </c>
      <c r="Z361" s="1186">
        <v>2.9</v>
      </c>
      <c r="AA361" s="1186">
        <v>230</v>
      </c>
      <c r="AB361" s="1186">
        <v>5.8</v>
      </c>
      <c r="AC361" s="1186">
        <v>216</v>
      </c>
      <c r="AD361" s="1187">
        <v>3.6</v>
      </c>
    </row>
    <row r="362" spans="1:30" x14ac:dyDescent="0.2">
      <c r="A362">
        <f t="shared" si="39"/>
        <v>8</v>
      </c>
      <c r="B362">
        <v>353</v>
      </c>
      <c r="C362" s="1078">
        <v>3</v>
      </c>
      <c r="D362" s="1077" t="s">
        <v>3597</v>
      </c>
      <c r="E362" s="1077" t="s">
        <v>4050</v>
      </c>
      <c r="F362" s="1185">
        <v>2</v>
      </c>
      <c r="G362" s="1186"/>
      <c r="H362" s="1186"/>
      <c r="I362" s="1186"/>
      <c r="J362" s="1186"/>
      <c r="K362" s="1186"/>
      <c r="L362" s="1186"/>
      <c r="M362" s="1186"/>
      <c r="N362" s="1186"/>
      <c r="O362" s="1186"/>
      <c r="P362" s="1186"/>
      <c r="Q362" s="1186"/>
      <c r="R362" s="1186"/>
      <c r="S362" s="1186"/>
      <c r="T362" s="1186"/>
      <c r="U362" s="1186"/>
      <c r="V362" s="1186"/>
      <c r="W362" s="1186">
        <v>206</v>
      </c>
      <c r="X362" s="1186">
        <v>4.7</v>
      </c>
      <c r="Y362" s="1186">
        <v>190</v>
      </c>
      <c r="Z362" s="1186">
        <v>2.9</v>
      </c>
      <c r="AA362" s="1186">
        <v>263</v>
      </c>
      <c r="AB362" s="1186">
        <v>5.8</v>
      </c>
      <c r="AC362" s="1186">
        <v>246</v>
      </c>
      <c r="AD362" s="1187">
        <v>3.6</v>
      </c>
    </row>
    <row r="363" spans="1:30" x14ac:dyDescent="0.2">
      <c r="A363">
        <f t="shared" si="39"/>
        <v>8</v>
      </c>
      <c r="B363">
        <v>354</v>
      </c>
      <c r="C363" s="1078">
        <v>3</v>
      </c>
      <c r="D363" s="1077" t="s">
        <v>3597</v>
      </c>
      <c r="E363" s="1077" t="s">
        <v>4051</v>
      </c>
      <c r="F363" s="1185">
        <v>2</v>
      </c>
      <c r="G363" s="1186"/>
      <c r="H363" s="1186"/>
      <c r="I363" s="1186"/>
      <c r="J363" s="1186"/>
      <c r="K363" s="1186"/>
      <c r="L363" s="1186"/>
      <c r="M363" s="1186"/>
      <c r="N363" s="1186"/>
      <c r="O363" s="1186"/>
      <c r="P363" s="1186"/>
      <c r="Q363" s="1186"/>
      <c r="R363" s="1186"/>
      <c r="S363" s="1186"/>
      <c r="T363" s="1186"/>
      <c r="U363" s="1186"/>
      <c r="V363" s="1186"/>
      <c r="W363" s="1186">
        <v>230</v>
      </c>
      <c r="X363" s="1186">
        <v>4.7</v>
      </c>
      <c r="Y363" s="1186">
        <v>213</v>
      </c>
      <c r="Z363" s="1186">
        <v>2.9</v>
      </c>
      <c r="AA363" s="1186">
        <v>292</v>
      </c>
      <c r="AB363" s="1186">
        <v>5.7</v>
      </c>
      <c r="AC363" s="1186">
        <v>275</v>
      </c>
      <c r="AD363" s="1187">
        <v>3.6</v>
      </c>
    </row>
    <row r="364" spans="1:30" x14ac:dyDescent="0.2">
      <c r="A364">
        <f t="shared" si="39"/>
        <v>8</v>
      </c>
      <c r="B364">
        <v>355</v>
      </c>
      <c r="C364" s="1078">
        <v>2</v>
      </c>
      <c r="D364" s="1077" t="s">
        <v>3597</v>
      </c>
      <c r="E364" s="1077" t="s">
        <v>5378</v>
      </c>
      <c r="F364" s="1185">
        <v>4</v>
      </c>
      <c r="G364" s="1186">
        <v>4.34</v>
      </c>
      <c r="H364" s="1186">
        <v>2.4</v>
      </c>
      <c r="I364" s="1186">
        <v>5.41</v>
      </c>
      <c r="J364" s="1186">
        <v>3.08</v>
      </c>
      <c r="K364" s="1186">
        <v>4.5</v>
      </c>
      <c r="L364" s="1186">
        <v>3.5</v>
      </c>
      <c r="M364" s="1186">
        <v>4</v>
      </c>
      <c r="N364" s="1186">
        <v>3.7</v>
      </c>
      <c r="O364" s="1186">
        <v>2.8</v>
      </c>
      <c r="P364" s="1186">
        <v>6.81</v>
      </c>
      <c r="Q364" s="1186">
        <v>4.67</v>
      </c>
      <c r="R364" s="1186">
        <v>2.06</v>
      </c>
      <c r="S364" s="1186">
        <v>3.4</v>
      </c>
      <c r="T364" s="1186">
        <v>2.6</v>
      </c>
      <c r="U364" s="1186">
        <v>2.2000000000000002</v>
      </c>
      <c r="V364" s="1186">
        <v>3.6</v>
      </c>
      <c r="W364" s="1186"/>
      <c r="X364" s="1186"/>
      <c r="Y364" s="1186"/>
      <c r="Z364" s="1186"/>
      <c r="AA364" s="1186"/>
      <c r="AB364" s="1186"/>
      <c r="AC364" s="1186"/>
      <c r="AD364" s="1187"/>
    </row>
    <row r="365" spans="1:30" x14ac:dyDescent="0.2">
      <c r="A365">
        <f t="shared" si="39"/>
        <v>8</v>
      </c>
      <c r="B365">
        <v>356</v>
      </c>
      <c r="C365" s="1078">
        <v>2</v>
      </c>
      <c r="D365" s="1077" t="s">
        <v>3597</v>
      </c>
      <c r="E365" s="1077" t="s">
        <v>5379</v>
      </c>
      <c r="F365" s="1185">
        <v>4</v>
      </c>
      <c r="G365" s="1186">
        <v>5.92</v>
      </c>
      <c r="H365" s="1186">
        <v>2.6</v>
      </c>
      <c r="I365" s="1186">
        <v>7.33</v>
      </c>
      <c r="J365" s="1186">
        <v>3</v>
      </c>
      <c r="K365" s="1186">
        <v>6.1</v>
      </c>
      <c r="L365" s="1186">
        <v>3.6</v>
      </c>
      <c r="M365" s="1186">
        <v>5.4</v>
      </c>
      <c r="N365" s="1186">
        <v>3.6</v>
      </c>
      <c r="O365" s="1186">
        <v>3.8</v>
      </c>
      <c r="P365" s="1186">
        <v>6.3</v>
      </c>
      <c r="Q365" s="1186">
        <v>6.87</v>
      </c>
      <c r="R365" s="1186">
        <v>2.2999999999999998</v>
      </c>
      <c r="S365" s="1186">
        <v>5.0999999999999996</v>
      </c>
      <c r="T365" s="1186">
        <v>2.7</v>
      </c>
      <c r="U365" s="1186">
        <v>3.4</v>
      </c>
      <c r="V365" s="1186">
        <v>3.8</v>
      </c>
      <c r="W365" s="1186"/>
      <c r="X365" s="1186"/>
      <c r="Y365" s="1186"/>
      <c r="Z365" s="1186"/>
      <c r="AA365" s="1186"/>
      <c r="AB365" s="1186"/>
      <c r="AC365" s="1186"/>
      <c r="AD365" s="1187"/>
    </row>
    <row r="366" spans="1:30" x14ac:dyDescent="0.2">
      <c r="A366">
        <f t="shared" si="39"/>
        <v>8</v>
      </c>
      <c r="B366">
        <v>357</v>
      </c>
      <c r="C366" s="1078">
        <v>2</v>
      </c>
      <c r="D366" s="1077" t="s">
        <v>3597</v>
      </c>
      <c r="E366" s="1077" t="s">
        <v>5648</v>
      </c>
      <c r="F366" s="1185">
        <v>4</v>
      </c>
      <c r="G366" s="1186">
        <v>7</v>
      </c>
      <c r="H366" s="1186">
        <v>2.2999999999999998</v>
      </c>
      <c r="I366" s="1186">
        <v>9.4</v>
      </c>
      <c r="J366" s="1186">
        <v>3.04</v>
      </c>
      <c r="K366" s="1186">
        <v>7.9</v>
      </c>
      <c r="L366" s="1186">
        <v>3.6</v>
      </c>
      <c r="M366" s="1186">
        <v>7</v>
      </c>
      <c r="N366" s="1186">
        <v>3.7</v>
      </c>
      <c r="O366" s="1186">
        <v>4.8</v>
      </c>
      <c r="P366" s="1186">
        <v>6.8</v>
      </c>
      <c r="Q366" s="1186">
        <v>7.99</v>
      </c>
      <c r="R366" s="1186">
        <v>2.0299999999999998</v>
      </c>
      <c r="S366" s="1186">
        <v>6.3</v>
      </c>
      <c r="T366" s="1186">
        <v>2.6</v>
      </c>
      <c r="U366" s="1186">
        <v>4.3</v>
      </c>
      <c r="V366" s="1186">
        <v>3.9</v>
      </c>
      <c r="W366" s="1186"/>
      <c r="X366" s="1186"/>
      <c r="Y366" s="1186"/>
      <c r="Z366" s="1186"/>
      <c r="AA366" s="1186"/>
      <c r="AB366" s="1186"/>
      <c r="AC366" s="1186"/>
      <c r="AD366" s="1187"/>
    </row>
    <row r="367" spans="1:30" x14ac:dyDescent="0.2">
      <c r="A367">
        <f t="shared" si="39"/>
        <v>8</v>
      </c>
      <c r="B367">
        <v>358</v>
      </c>
      <c r="C367" s="1078">
        <v>2</v>
      </c>
      <c r="D367" s="1077" t="s">
        <v>3597</v>
      </c>
      <c r="E367" s="1077" t="s">
        <v>5649</v>
      </c>
      <c r="F367" s="1185">
        <v>4</v>
      </c>
      <c r="G367" s="1186">
        <v>10.6</v>
      </c>
      <c r="H367" s="1186">
        <v>2.4</v>
      </c>
      <c r="I367" s="1186">
        <v>13</v>
      </c>
      <c r="J367" s="1186">
        <v>2.74</v>
      </c>
      <c r="K367" s="1186">
        <v>11</v>
      </c>
      <c r="L367" s="1186">
        <v>3.4</v>
      </c>
      <c r="M367" s="1186">
        <v>10</v>
      </c>
      <c r="N367" s="1186">
        <v>3.6</v>
      </c>
      <c r="O367" s="1186">
        <v>8</v>
      </c>
      <c r="P367" s="1186">
        <v>7</v>
      </c>
      <c r="Q367" s="1186">
        <v>12.69</v>
      </c>
      <c r="R367" s="1186">
        <v>2.15</v>
      </c>
      <c r="S367" s="1186">
        <v>9.4</v>
      </c>
      <c r="T367" s="1186">
        <v>2.6</v>
      </c>
      <c r="U367" s="1186">
        <v>6.3</v>
      </c>
      <c r="V367" s="1186">
        <v>3.9</v>
      </c>
      <c r="W367" s="1186"/>
      <c r="X367" s="1186"/>
      <c r="Y367" s="1186"/>
      <c r="Z367" s="1186"/>
      <c r="AA367" s="1186"/>
      <c r="AB367" s="1186"/>
      <c r="AC367" s="1186"/>
      <c r="AD367" s="1187"/>
    </row>
    <row r="368" spans="1:30" x14ac:dyDescent="0.2">
      <c r="A368">
        <f t="shared" si="39"/>
        <v>8</v>
      </c>
      <c r="B368">
        <v>359</v>
      </c>
      <c r="C368" s="1078">
        <v>3</v>
      </c>
      <c r="D368" s="1077" t="s">
        <v>3597</v>
      </c>
      <c r="E368" s="1077" t="s">
        <v>5640</v>
      </c>
      <c r="F368" s="1185">
        <v>4</v>
      </c>
      <c r="G368" s="1186"/>
      <c r="H368" s="1186"/>
      <c r="I368" s="1186"/>
      <c r="J368" s="1186"/>
      <c r="K368" s="1186"/>
      <c r="L368" s="1186"/>
      <c r="M368" s="1186"/>
      <c r="N368" s="1186"/>
      <c r="O368" s="1186"/>
      <c r="P368" s="1186"/>
      <c r="Q368" s="1186"/>
      <c r="R368" s="1186"/>
      <c r="S368" s="1186"/>
      <c r="T368" s="1186"/>
      <c r="U368" s="1186"/>
      <c r="V368" s="1186"/>
      <c r="W368" s="1186">
        <v>31</v>
      </c>
      <c r="X368" s="1186">
        <v>3.6</v>
      </c>
      <c r="Y368" s="1186">
        <v>25.2</v>
      </c>
      <c r="Z368" s="1186">
        <v>2.7</v>
      </c>
      <c r="AA368" s="1186">
        <v>43.2</v>
      </c>
      <c r="AB368" s="1186">
        <v>4.4000000000000004</v>
      </c>
      <c r="AC368" s="1186">
        <v>36.9</v>
      </c>
      <c r="AD368" s="1187">
        <v>3.2</v>
      </c>
    </row>
    <row r="369" spans="1:30" x14ac:dyDescent="0.2">
      <c r="A369">
        <f t="shared" si="39"/>
        <v>8</v>
      </c>
      <c r="B369">
        <v>360</v>
      </c>
      <c r="C369" s="1078">
        <v>3</v>
      </c>
      <c r="D369" s="1077" t="s">
        <v>3597</v>
      </c>
      <c r="E369" s="1077" t="s">
        <v>5641</v>
      </c>
      <c r="F369" s="1185">
        <v>4</v>
      </c>
      <c r="G369" s="1186"/>
      <c r="H369" s="1186"/>
      <c r="I369" s="1186"/>
      <c r="J369" s="1186"/>
      <c r="K369" s="1186"/>
      <c r="L369" s="1186"/>
      <c r="M369" s="1186"/>
      <c r="N369" s="1186"/>
      <c r="O369" s="1186"/>
      <c r="P369" s="1186"/>
      <c r="Q369" s="1186"/>
      <c r="R369" s="1186"/>
      <c r="S369" s="1186"/>
      <c r="T369" s="1186"/>
      <c r="U369" s="1186"/>
      <c r="V369" s="1186"/>
      <c r="W369" s="1186">
        <v>37.1</v>
      </c>
      <c r="X369" s="1186">
        <v>3.7</v>
      </c>
      <c r="Y369" s="1186">
        <v>30.4</v>
      </c>
      <c r="Z369" s="1186">
        <v>2.8</v>
      </c>
      <c r="AA369" s="1186">
        <v>51.6</v>
      </c>
      <c r="AB369" s="1186">
        <v>4.4000000000000004</v>
      </c>
      <c r="AC369" s="1186">
        <v>44.2</v>
      </c>
      <c r="AD369" s="1187">
        <v>3.3</v>
      </c>
    </row>
    <row r="370" spans="1:30" x14ac:dyDescent="0.2">
      <c r="A370">
        <f t="shared" si="39"/>
        <v>8</v>
      </c>
      <c r="B370">
        <v>361</v>
      </c>
      <c r="C370" s="1078">
        <v>3</v>
      </c>
      <c r="D370" s="1077" t="s">
        <v>3597</v>
      </c>
      <c r="E370" s="1077" t="s">
        <v>5642</v>
      </c>
      <c r="F370" s="1185">
        <v>4</v>
      </c>
      <c r="G370" s="1186"/>
      <c r="H370" s="1186"/>
      <c r="I370" s="1186"/>
      <c r="J370" s="1186"/>
      <c r="K370" s="1186"/>
      <c r="L370" s="1186"/>
      <c r="M370" s="1186"/>
      <c r="N370" s="1186"/>
      <c r="O370" s="1186"/>
      <c r="P370" s="1186"/>
      <c r="Q370" s="1186"/>
      <c r="R370" s="1186"/>
      <c r="S370" s="1186"/>
      <c r="T370" s="1186"/>
      <c r="U370" s="1186"/>
      <c r="V370" s="1186"/>
      <c r="W370" s="1186">
        <v>42.9</v>
      </c>
      <c r="X370" s="1186">
        <v>3.6</v>
      </c>
      <c r="Y370" s="1186">
        <v>34.9</v>
      </c>
      <c r="Z370" s="1186">
        <v>2.8</v>
      </c>
      <c r="AA370" s="1186">
        <v>60</v>
      </c>
      <c r="AB370" s="1186">
        <v>4.4000000000000004</v>
      </c>
      <c r="AC370" s="1186">
        <v>51</v>
      </c>
      <c r="AD370" s="1187">
        <v>3.2</v>
      </c>
    </row>
    <row r="371" spans="1:30" x14ac:dyDescent="0.2">
      <c r="A371">
        <f t="shared" si="39"/>
        <v>8</v>
      </c>
      <c r="B371">
        <v>362</v>
      </c>
      <c r="C371" s="1078">
        <v>3</v>
      </c>
      <c r="D371" s="1077" t="s">
        <v>3597</v>
      </c>
      <c r="E371" s="1077" t="s">
        <v>5643</v>
      </c>
      <c r="F371" s="1185">
        <v>4</v>
      </c>
      <c r="G371" s="1186"/>
      <c r="H371" s="1186"/>
      <c r="I371" s="1186"/>
      <c r="J371" s="1186"/>
      <c r="K371" s="1186"/>
      <c r="L371" s="1186"/>
      <c r="M371" s="1186"/>
      <c r="N371" s="1186"/>
      <c r="O371" s="1186"/>
      <c r="P371" s="1186"/>
      <c r="Q371" s="1186"/>
      <c r="R371" s="1186"/>
      <c r="S371" s="1186"/>
      <c r="T371" s="1186"/>
      <c r="U371" s="1186"/>
      <c r="V371" s="1186"/>
      <c r="W371" s="1186">
        <v>50.1</v>
      </c>
      <c r="X371" s="1186">
        <v>3.7</v>
      </c>
      <c r="Y371" s="1186">
        <v>40.799999999999997</v>
      </c>
      <c r="Z371" s="1186">
        <v>2.8</v>
      </c>
      <c r="AA371" s="1186">
        <v>69.7</v>
      </c>
      <c r="AB371" s="1186">
        <v>4.5</v>
      </c>
      <c r="AC371" s="1186">
        <v>59.7</v>
      </c>
      <c r="AD371" s="1187">
        <v>3.3</v>
      </c>
    </row>
    <row r="372" spans="1:30" x14ac:dyDescent="0.2">
      <c r="A372">
        <f t="shared" si="39"/>
        <v>8</v>
      </c>
      <c r="B372">
        <v>363</v>
      </c>
      <c r="C372" s="1078">
        <v>3</v>
      </c>
      <c r="D372" s="1077" t="s">
        <v>3597</v>
      </c>
      <c r="E372" s="1077" t="s">
        <v>5644</v>
      </c>
      <c r="F372" s="1185">
        <v>4</v>
      </c>
      <c r="G372" s="1186"/>
      <c r="H372" s="1186"/>
      <c r="I372" s="1186"/>
      <c r="J372" s="1186"/>
      <c r="K372" s="1186"/>
      <c r="L372" s="1186"/>
      <c r="M372" s="1186"/>
      <c r="N372" s="1186"/>
      <c r="O372" s="1186"/>
      <c r="P372" s="1186"/>
      <c r="Q372" s="1186"/>
      <c r="R372" s="1186"/>
      <c r="S372" s="1186"/>
      <c r="T372" s="1186"/>
      <c r="U372" s="1186"/>
      <c r="V372" s="1186"/>
      <c r="W372" s="1186">
        <v>62</v>
      </c>
      <c r="X372" s="1186">
        <v>3.6</v>
      </c>
      <c r="Y372" s="1186">
        <v>50.4</v>
      </c>
      <c r="Z372" s="1186">
        <v>2.7</v>
      </c>
      <c r="AA372" s="1186">
        <v>86.3</v>
      </c>
      <c r="AB372" s="1186">
        <v>4.4000000000000004</v>
      </c>
      <c r="AC372" s="1186">
        <v>74.400000000000006</v>
      </c>
      <c r="AD372" s="1187">
        <v>3.3</v>
      </c>
    </row>
    <row r="373" spans="1:30" x14ac:dyDescent="0.2">
      <c r="A373">
        <f t="shared" si="39"/>
        <v>8</v>
      </c>
      <c r="B373">
        <v>364</v>
      </c>
      <c r="C373" s="1078">
        <v>3</v>
      </c>
      <c r="D373" s="1077" t="s">
        <v>3597</v>
      </c>
      <c r="E373" s="1077" t="s">
        <v>5645</v>
      </c>
      <c r="F373" s="1185">
        <v>4</v>
      </c>
      <c r="G373" s="1186"/>
      <c r="H373" s="1186"/>
      <c r="I373" s="1186"/>
      <c r="J373" s="1186"/>
      <c r="K373" s="1186"/>
      <c r="L373" s="1186"/>
      <c r="M373" s="1186"/>
      <c r="N373" s="1186"/>
      <c r="O373" s="1186"/>
      <c r="P373" s="1186"/>
      <c r="Q373" s="1186"/>
      <c r="R373" s="1186"/>
      <c r="S373" s="1186"/>
      <c r="T373" s="1186"/>
      <c r="U373" s="1186"/>
      <c r="V373" s="1186"/>
      <c r="W373" s="1186">
        <v>74.2</v>
      </c>
      <c r="X373" s="1186">
        <v>3.7</v>
      </c>
      <c r="Y373" s="1186">
        <v>60.8</v>
      </c>
      <c r="Z373" s="1186">
        <v>2.8</v>
      </c>
      <c r="AA373" s="1186">
        <v>103.2</v>
      </c>
      <c r="AB373" s="1186">
        <v>4.4000000000000004</v>
      </c>
      <c r="AC373" s="1186">
        <v>88.3</v>
      </c>
      <c r="AD373" s="1187">
        <v>3.3</v>
      </c>
    </row>
    <row r="374" spans="1:30" x14ac:dyDescent="0.2">
      <c r="A374">
        <f t="shared" si="39"/>
        <v>8</v>
      </c>
      <c r="B374">
        <v>365</v>
      </c>
      <c r="C374" s="1078">
        <v>3</v>
      </c>
      <c r="D374" s="1077" t="s">
        <v>3597</v>
      </c>
      <c r="E374" s="1077" t="s">
        <v>5646</v>
      </c>
      <c r="F374" s="1185">
        <v>4</v>
      </c>
      <c r="G374" s="1186"/>
      <c r="H374" s="1186"/>
      <c r="I374" s="1186"/>
      <c r="J374" s="1186"/>
      <c r="K374" s="1186"/>
      <c r="L374" s="1186"/>
      <c r="M374" s="1186"/>
      <c r="N374" s="1186"/>
      <c r="O374" s="1186"/>
      <c r="P374" s="1186"/>
      <c r="Q374" s="1186"/>
      <c r="R374" s="1186"/>
      <c r="S374" s="1186"/>
      <c r="T374" s="1186"/>
      <c r="U374" s="1186"/>
      <c r="V374" s="1186"/>
      <c r="W374" s="1186">
        <v>85.9</v>
      </c>
      <c r="X374" s="1186">
        <v>3.6</v>
      </c>
      <c r="Y374" s="1186">
        <v>69.8</v>
      </c>
      <c r="Z374" s="1186">
        <v>2.8</v>
      </c>
      <c r="AA374" s="1186">
        <v>120</v>
      </c>
      <c r="AB374" s="1186">
        <v>4.4000000000000004</v>
      </c>
      <c r="AC374" s="1186">
        <v>100.2</v>
      </c>
      <c r="AD374" s="1187">
        <v>3.2</v>
      </c>
    </row>
    <row r="375" spans="1:30" x14ac:dyDescent="0.2">
      <c r="A375">
        <f t="shared" si="39"/>
        <v>8</v>
      </c>
      <c r="B375">
        <v>366</v>
      </c>
      <c r="C375" s="1078">
        <v>3</v>
      </c>
      <c r="D375" s="1077" t="s">
        <v>3597</v>
      </c>
      <c r="E375" s="1077" t="s">
        <v>5647</v>
      </c>
      <c r="F375" s="1185">
        <v>4</v>
      </c>
      <c r="G375" s="1186"/>
      <c r="H375" s="1186"/>
      <c r="I375" s="1186"/>
      <c r="J375" s="1186"/>
      <c r="K375" s="1186"/>
      <c r="L375" s="1186"/>
      <c r="M375" s="1186"/>
      <c r="N375" s="1186"/>
      <c r="O375" s="1186"/>
      <c r="P375" s="1186"/>
      <c r="Q375" s="1186"/>
      <c r="R375" s="1186"/>
      <c r="S375" s="1186"/>
      <c r="T375" s="1186"/>
      <c r="U375" s="1186"/>
      <c r="V375" s="1186"/>
      <c r="W375" s="1186">
        <v>100.1</v>
      </c>
      <c r="X375" s="1186">
        <v>3.7</v>
      </c>
      <c r="Y375" s="1186">
        <v>81.599999999999994</v>
      </c>
      <c r="Z375" s="1186">
        <v>29.2</v>
      </c>
      <c r="AA375" s="1186">
        <v>139.4</v>
      </c>
      <c r="AB375" s="1186">
        <v>4.5</v>
      </c>
      <c r="AC375" s="1186">
        <v>119.3</v>
      </c>
      <c r="AD375" s="1187">
        <v>3.3</v>
      </c>
    </row>
    <row r="376" spans="1:30" x14ac:dyDescent="0.2">
      <c r="A376">
        <f t="shared" si="39"/>
        <v>9</v>
      </c>
      <c r="B376">
        <v>367</v>
      </c>
      <c r="C376" s="1078">
        <v>3</v>
      </c>
      <c r="D376" s="1077" t="s">
        <v>5279</v>
      </c>
      <c r="E376" s="1077" t="s">
        <v>4444</v>
      </c>
      <c r="F376" s="1185">
        <v>1</v>
      </c>
      <c r="G376" s="1186"/>
      <c r="H376" s="1186"/>
      <c r="I376" s="1186"/>
      <c r="J376" s="1186"/>
      <c r="K376" s="1186"/>
      <c r="L376" s="1186"/>
      <c r="M376" s="1186"/>
      <c r="N376" s="1186"/>
      <c r="O376" s="1186"/>
      <c r="P376" s="1186"/>
      <c r="Q376" s="1186"/>
      <c r="R376" s="1186"/>
      <c r="S376" s="1186"/>
      <c r="T376" s="1186"/>
      <c r="U376" s="1186"/>
      <c r="V376" s="1186"/>
      <c r="W376" s="1186">
        <v>5.9</v>
      </c>
      <c r="X376" s="1186">
        <v>4.57</v>
      </c>
      <c r="Y376" s="1186">
        <v>5.17</v>
      </c>
      <c r="Z376" s="1186">
        <v>2.76</v>
      </c>
      <c r="AA376" s="1186"/>
      <c r="AB376" s="1186"/>
      <c r="AC376" s="1186"/>
      <c r="AD376" s="1187"/>
    </row>
    <row r="377" spans="1:30" x14ac:dyDescent="0.2">
      <c r="A377">
        <f t="shared" si="39"/>
        <v>9</v>
      </c>
      <c r="B377">
        <v>368</v>
      </c>
      <c r="C377" s="1078">
        <v>3</v>
      </c>
      <c r="D377" s="1077" t="s">
        <v>5279</v>
      </c>
      <c r="E377" s="1077" t="s">
        <v>4005</v>
      </c>
      <c r="F377" s="1185">
        <v>1</v>
      </c>
      <c r="G377" s="1186"/>
      <c r="H377" s="1186"/>
      <c r="I377" s="1186"/>
      <c r="J377" s="1186"/>
      <c r="K377" s="1186"/>
      <c r="L377" s="1186"/>
      <c r="M377" s="1186"/>
      <c r="N377" s="1186"/>
      <c r="O377" s="1186"/>
      <c r="P377" s="1186"/>
      <c r="Q377" s="1186"/>
      <c r="R377" s="1186"/>
      <c r="S377" s="1186"/>
      <c r="T377" s="1186"/>
      <c r="U377" s="1186"/>
      <c r="V377" s="1186"/>
      <c r="W377" s="1186">
        <v>8.19</v>
      </c>
      <c r="X377" s="1186">
        <v>4.58</v>
      </c>
      <c r="Y377" s="1186">
        <v>7.55</v>
      </c>
      <c r="Z377" s="1186">
        <v>2.99</v>
      </c>
      <c r="AA377" s="1186"/>
      <c r="AB377" s="1186"/>
      <c r="AC377" s="1186"/>
      <c r="AD377" s="1187"/>
    </row>
    <row r="378" spans="1:30" x14ac:dyDescent="0.2">
      <c r="A378">
        <f t="shared" si="39"/>
        <v>9</v>
      </c>
      <c r="B378">
        <v>369</v>
      </c>
      <c r="C378" s="1078">
        <v>3</v>
      </c>
      <c r="D378" s="1077" t="s">
        <v>5279</v>
      </c>
      <c r="E378" s="1077" t="s">
        <v>4007</v>
      </c>
      <c r="F378" s="1185">
        <v>1</v>
      </c>
      <c r="G378" s="1186"/>
      <c r="H378" s="1186"/>
      <c r="I378" s="1186"/>
      <c r="J378" s="1186"/>
      <c r="K378" s="1186"/>
      <c r="L378" s="1186"/>
      <c r="M378" s="1186"/>
      <c r="N378" s="1186"/>
      <c r="O378" s="1186"/>
      <c r="P378" s="1186"/>
      <c r="Q378" s="1186"/>
      <c r="R378" s="1186"/>
      <c r="S378" s="1186"/>
      <c r="T378" s="1186"/>
      <c r="U378" s="1186"/>
      <c r="V378" s="1186"/>
      <c r="W378" s="1186">
        <v>9.9700000000000006</v>
      </c>
      <c r="X378" s="1186">
        <v>4.5999999999999996</v>
      </c>
      <c r="Y378" s="1186">
        <v>9.2799999999999994</v>
      </c>
      <c r="Z378" s="1186">
        <v>2.98</v>
      </c>
      <c r="AA378" s="1186"/>
      <c r="AB378" s="1186"/>
      <c r="AC378" s="1186"/>
      <c r="AD378" s="1187"/>
    </row>
    <row r="379" spans="1:30" x14ac:dyDescent="0.2">
      <c r="A379">
        <f t="shared" si="39"/>
        <v>9</v>
      </c>
      <c r="B379">
        <v>370</v>
      </c>
      <c r="C379" s="1078">
        <v>3</v>
      </c>
      <c r="D379" s="1077" t="s">
        <v>5279</v>
      </c>
      <c r="E379" s="1077" t="s">
        <v>4009</v>
      </c>
      <c r="F379" s="1185">
        <v>1</v>
      </c>
      <c r="G379" s="1186"/>
      <c r="H379" s="1186"/>
      <c r="I379" s="1186"/>
      <c r="J379" s="1186"/>
      <c r="K379" s="1186"/>
      <c r="L379" s="1186"/>
      <c r="M379" s="1186"/>
      <c r="N379" s="1186"/>
      <c r="O379" s="1186"/>
      <c r="P379" s="1186"/>
      <c r="Q379" s="1186"/>
      <c r="R379" s="1186"/>
      <c r="S379" s="1186"/>
      <c r="T379" s="1186"/>
      <c r="U379" s="1186"/>
      <c r="V379" s="1186"/>
      <c r="W379" s="1186">
        <v>11.75</v>
      </c>
      <c r="X379" s="1186">
        <v>4.5999999999999996</v>
      </c>
      <c r="Y379" s="1186">
        <v>10.97</v>
      </c>
      <c r="Z379" s="1186">
        <v>2.96</v>
      </c>
      <c r="AA379" s="1186"/>
      <c r="AB379" s="1186"/>
      <c r="AC379" s="1186"/>
      <c r="AD379" s="1187"/>
    </row>
    <row r="380" spans="1:30" x14ac:dyDescent="0.2">
      <c r="A380">
        <f t="shared" si="39"/>
        <v>9</v>
      </c>
      <c r="B380">
        <v>371</v>
      </c>
      <c r="C380" s="1078">
        <v>3</v>
      </c>
      <c r="D380" s="1077" t="s">
        <v>5279</v>
      </c>
      <c r="E380" s="1077" t="s">
        <v>4003</v>
      </c>
      <c r="F380" s="1185">
        <v>1</v>
      </c>
      <c r="G380" s="1186"/>
      <c r="H380" s="1186"/>
      <c r="I380" s="1186"/>
      <c r="J380" s="1186"/>
      <c r="K380" s="1186"/>
      <c r="L380" s="1186"/>
      <c r="M380" s="1186"/>
      <c r="N380" s="1186"/>
      <c r="O380" s="1186"/>
      <c r="P380" s="1186"/>
      <c r="Q380" s="1186"/>
      <c r="R380" s="1186"/>
      <c r="S380" s="1186"/>
      <c r="T380" s="1186"/>
      <c r="U380" s="1186"/>
      <c r="V380" s="1186"/>
      <c r="W380" s="1186">
        <v>5.9</v>
      </c>
      <c r="X380" s="1186">
        <v>4.57</v>
      </c>
      <c r="Y380" s="1186">
        <v>5.17</v>
      </c>
      <c r="Z380" s="1186">
        <v>2.76</v>
      </c>
      <c r="AA380" s="1186"/>
      <c r="AB380" s="1186"/>
      <c r="AC380" s="1186"/>
      <c r="AD380" s="1187"/>
    </row>
    <row r="381" spans="1:30" x14ac:dyDescent="0.2">
      <c r="A381">
        <f t="shared" si="39"/>
        <v>9</v>
      </c>
      <c r="B381">
        <v>372</v>
      </c>
      <c r="C381" s="1078">
        <v>3</v>
      </c>
      <c r="D381" s="1077" t="s">
        <v>5279</v>
      </c>
      <c r="E381" s="1077" t="s">
        <v>4006</v>
      </c>
      <c r="F381" s="1185">
        <v>1</v>
      </c>
      <c r="G381" s="1186"/>
      <c r="H381" s="1186"/>
      <c r="I381" s="1186"/>
      <c r="J381" s="1186"/>
      <c r="K381" s="1186"/>
      <c r="L381" s="1186"/>
      <c r="M381" s="1186"/>
      <c r="N381" s="1186"/>
      <c r="O381" s="1186"/>
      <c r="P381" s="1186"/>
      <c r="Q381" s="1186"/>
      <c r="R381" s="1186"/>
      <c r="S381" s="1186"/>
      <c r="T381" s="1186"/>
      <c r="U381" s="1186"/>
      <c r="V381" s="1186"/>
      <c r="W381" s="1186">
        <v>8.19</v>
      </c>
      <c r="X381" s="1186">
        <v>4.58</v>
      </c>
      <c r="Y381" s="1186">
        <v>7.55</v>
      </c>
      <c r="Z381" s="1186">
        <v>2.99</v>
      </c>
      <c r="AA381" s="1186"/>
      <c r="AB381" s="1186"/>
      <c r="AC381" s="1186"/>
      <c r="AD381" s="1187"/>
    </row>
    <row r="382" spans="1:30" x14ac:dyDescent="0.2">
      <c r="A382">
        <f t="shared" si="39"/>
        <v>9</v>
      </c>
      <c r="B382">
        <v>373</v>
      </c>
      <c r="C382" s="1078">
        <v>3</v>
      </c>
      <c r="D382" s="1077" t="s">
        <v>5279</v>
      </c>
      <c r="E382" s="1077" t="s">
        <v>4008</v>
      </c>
      <c r="F382" s="1185">
        <v>1</v>
      </c>
      <c r="G382" s="1186"/>
      <c r="H382" s="1186"/>
      <c r="I382" s="1186"/>
      <c r="J382" s="1186"/>
      <c r="K382" s="1186"/>
      <c r="L382" s="1186"/>
      <c r="M382" s="1186"/>
      <c r="N382" s="1186"/>
      <c r="O382" s="1186"/>
      <c r="P382" s="1186"/>
      <c r="Q382" s="1186"/>
      <c r="R382" s="1186"/>
      <c r="S382" s="1186"/>
      <c r="T382" s="1186"/>
      <c r="U382" s="1186"/>
      <c r="V382" s="1186"/>
      <c r="W382" s="1186">
        <v>9.2799999999999994</v>
      </c>
      <c r="X382" s="1186">
        <v>4.5999999999999996</v>
      </c>
      <c r="Y382" s="1186">
        <v>9.2799999999999994</v>
      </c>
      <c r="Z382" s="1186">
        <v>2.98</v>
      </c>
      <c r="AA382" s="1186"/>
      <c r="AB382" s="1186"/>
      <c r="AC382" s="1186"/>
      <c r="AD382" s="1187"/>
    </row>
    <row r="383" spans="1:30" x14ac:dyDescent="0.2">
      <c r="A383">
        <f t="shared" si="39"/>
        <v>9</v>
      </c>
      <c r="B383">
        <v>374</v>
      </c>
      <c r="C383" s="1078">
        <v>3</v>
      </c>
      <c r="D383" s="1077" t="s">
        <v>5279</v>
      </c>
      <c r="E383" s="1077" t="s">
        <v>4010</v>
      </c>
      <c r="F383" s="1185">
        <v>1</v>
      </c>
      <c r="G383" s="1186"/>
      <c r="H383" s="1186"/>
      <c r="I383" s="1186"/>
      <c r="J383" s="1186"/>
      <c r="K383" s="1186"/>
      <c r="L383" s="1186"/>
      <c r="M383" s="1186"/>
      <c r="N383" s="1186"/>
      <c r="O383" s="1186"/>
      <c r="P383" s="1186"/>
      <c r="Q383" s="1186"/>
      <c r="R383" s="1186"/>
      <c r="S383" s="1186"/>
      <c r="T383" s="1186"/>
      <c r="U383" s="1186"/>
      <c r="V383" s="1186"/>
      <c r="W383" s="1186">
        <v>11.75</v>
      </c>
      <c r="X383" s="1186">
        <v>4.5999999999999996</v>
      </c>
      <c r="Y383" s="1186">
        <v>10.97</v>
      </c>
      <c r="Z383" s="1186">
        <v>2.96</v>
      </c>
      <c r="AA383" s="1186"/>
      <c r="AB383" s="1186"/>
      <c r="AC383" s="1186"/>
      <c r="AD383" s="1187"/>
    </row>
    <row r="384" spans="1:30" x14ac:dyDescent="0.2">
      <c r="A384">
        <f t="shared" si="39"/>
        <v>9</v>
      </c>
      <c r="B384">
        <v>375</v>
      </c>
      <c r="C384" s="1078">
        <v>3</v>
      </c>
      <c r="D384" s="1077" t="s">
        <v>5279</v>
      </c>
      <c r="E384" s="1077" t="s">
        <v>4011</v>
      </c>
      <c r="F384" s="1185">
        <v>1</v>
      </c>
      <c r="G384" s="1186"/>
      <c r="H384" s="1186"/>
      <c r="I384" s="1186"/>
      <c r="J384" s="1186"/>
      <c r="K384" s="1186"/>
      <c r="L384" s="1186"/>
      <c r="M384" s="1186"/>
      <c r="N384" s="1186"/>
      <c r="O384" s="1186"/>
      <c r="P384" s="1186"/>
      <c r="Q384" s="1186"/>
      <c r="R384" s="1186"/>
      <c r="S384" s="1186"/>
      <c r="T384" s="1186"/>
      <c r="U384" s="1186"/>
      <c r="V384" s="1186"/>
      <c r="W384" s="1186">
        <v>14.47</v>
      </c>
      <c r="X384" s="1186">
        <v>4.54</v>
      </c>
      <c r="Y384" s="1186">
        <v>13.4</v>
      </c>
      <c r="Z384" s="1186">
        <v>2.95</v>
      </c>
      <c r="AA384" s="1186"/>
      <c r="AB384" s="1186"/>
      <c r="AC384" s="1186"/>
      <c r="AD384" s="1187"/>
    </row>
    <row r="385" spans="1:30" x14ac:dyDescent="0.2">
      <c r="A385">
        <f t="shared" si="39"/>
        <v>9</v>
      </c>
      <c r="B385">
        <v>376</v>
      </c>
      <c r="C385" s="1078">
        <v>3</v>
      </c>
      <c r="D385" s="1077" t="s">
        <v>5279</v>
      </c>
      <c r="E385" s="1077" t="s">
        <v>4012</v>
      </c>
      <c r="F385" s="1185">
        <v>1</v>
      </c>
      <c r="G385" s="1186"/>
      <c r="H385" s="1186"/>
      <c r="I385" s="1186"/>
      <c r="J385" s="1186"/>
      <c r="K385" s="1186"/>
      <c r="L385" s="1186"/>
      <c r="M385" s="1186"/>
      <c r="N385" s="1186"/>
      <c r="O385" s="1186"/>
      <c r="P385" s="1186"/>
      <c r="Q385" s="1186"/>
      <c r="R385" s="1186"/>
      <c r="S385" s="1186"/>
      <c r="T385" s="1186"/>
      <c r="U385" s="1186"/>
      <c r="V385" s="1186"/>
      <c r="W385" s="1186">
        <v>16.760000000000002</v>
      </c>
      <c r="X385" s="1186">
        <v>4.5199999999999996</v>
      </c>
      <c r="Y385" s="1186">
        <v>15.87</v>
      </c>
      <c r="Z385" s="1186">
        <v>3.07</v>
      </c>
      <c r="AA385" s="1186"/>
      <c r="AB385" s="1186"/>
      <c r="AC385" s="1186"/>
      <c r="AD385" s="1187"/>
    </row>
    <row r="386" spans="1:30" x14ac:dyDescent="0.2">
      <c r="A386">
        <f t="shared" si="39"/>
        <v>9</v>
      </c>
      <c r="B386">
        <v>377</v>
      </c>
      <c r="C386" s="1078">
        <v>3</v>
      </c>
      <c r="D386" s="1077" t="s">
        <v>5279</v>
      </c>
      <c r="E386" s="1077" t="s">
        <v>5280</v>
      </c>
      <c r="F386" s="1185">
        <v>2</v>
      </c>
      <c r="G386" s="1186"/>
      <c r="H386" s="1186"/>
      <c r="I386" s="1186"/>
      <c r="J386" s="1186"/>
      <c r="K386" s="1186"/>
      <c r="L386" s="1186"/>
      <c r="M386" s="1186"/>
      <c r="N386" s="1186"/>
      <c r="O386" s="1186"/>
      <c r="P386" s="1186"/>
      <c r="Q386" s="1186"/>
      <c r="R386" s="1186"/>
      <c r="S386" s="1186"/>
      <c r="T386" s="1186"/>
      <c r="U386" s="1186"/>
      <c r="V386" s="1186"/>
      <c r="W386" s="1186">
        <v>25.06</v>
      </c>
      <c r="X386" s="1186">
        <v>4.5599999999999996</v>
      </c>
      <c r="Y386" s="1186">
        <v>23.42</v>
      </c>
      <c r="Z386" s="1186">
        <v>3.03</v>
      </c>
      <c r="AA386" s="1186"/>
      <c r="AB386" s="1186"/>
      <c r="AC386" s="1186"/>
      <c r="AD386" s="1187"/>
    </row>
    <row r="387" spans="1:30" x14ac:dyDescent="0.2">
      <c r="A387">
        <f t="shared" si="39"/>
        <v>9</v>
      </c>
      <c r="B387">
        <v>378</v>
      </c>
      <c r="C387" s="1078">
        <v>3</v>
      </c>
      <c r="D387" s="1077" t="s">
        <v>5279</v>
      </c>
      <c r="E387" s="1077" t="s">
        <v>5281</v>
      </c>
      <c r="F387" s="1185">
        <v>2</v>
      </c>
      <c r="G387" s="1186"/>
      <c r="H387" s="1186"/>
      <c r="I387" s="1186"/>
      <c r="J387" s="1186"/>
      <c r="K387" s="1186"/>
      <c r="L387" s="1186"/>
      <c r="M387" s="1186"/>
      <c r="N387" s="1186"/>
      <c r="O387" s="1186"/>
      <c r="P387" s="1186"/>
      <c r="Q387" s="1186"/>
      <c r="R387" s="1186"/>
      <c r="S387" s="1186"/>
      <c r="T387" s="1186"/>
      <c r="U387" s="1186"/>
      <c r="V387" s="1186"/>
      <c r="W387" s="1186">
        <v>28.62</v>
      </c>
      <c r="X387" s="1186">
        <v>4.5599999999999996</v>
      </c>
      <c r="Y387" s="1186">
        <v>26.84</v>
      </c>
      <c r="Z387" s="1186">
        <v>3.02</v>
      </c>
      <c r="AA387" s="1186"/>
      <c r="AB387" s="1186"/>
      <c r="AC387" s="1186"/>
      <c r="AD387" s="1187"/>
    </row>
    <row r="388" spans="1:30" x14ac:dyDescent="0.2">
      <c r="A388">
        <f t="shared" si="39"/>
        <v>9</v>
      </c>
      <c r="B388">
        <v>379</v>
      </c>
      <c r="C388" s="1078">
        <v>3</v>
      </c>
      <c r="D388" s="1077" t="s">
        <v>5279</v>
      </c>
      <c r="E388" s="1077" t="s">
        <v>5282</v>
      </c>
      <c r="F388" s="1185">
        <v>2</v>
      </c>
      <c r="G388" s="1186"/>
      <c r="H388" s="1186"/>
      <c r="I388" s="1186"/>
      <c r="J388" s="1186"/>
      <c r="K388" s="1186"/>
      <c r="L388" s="1186"/>
      <c r="M388" s="1186"/>
      <c r="N388" s="1186"/>
      <c r="O388" s="1186"/>
      <c r="P388" s="1186"/>
      <c r="Q388" s="1186"/>
      <c r="R388" s="1186"/>
      <c r="S388" s="1186"/>
      <c r="T388" s="1186"/>
      <c r="U388" s="1186"/>
      <c r="V388" s="1186"/>
      <c r="W388" s="1186">
        <v>33.74</v>
      </c>
      <c r="X388" s="1186">
        <v>4.55</v>
      </c>
      <c r="Y388" s="1186">
        <v>31.74</v>
      </c>
      <c r="Z388" s="1186">
        <v>3.07</v>
      </c>
      <c r="AA388" s="1186"/>
      <c r="AB388" s="1186"/>
      <c r="AC388" s="1186"/>
      <c r="AD388" s="1187"/>
    </row>
    <row r="389" spans="1:30" x14ac:dyDescent="0.2">
      <c r="A389">
        <f t="shared" si="39"/>
        <v>9</v>
      </c>
      <c r="B389">
        <v>380</v>
      </c>
      <c r="C389" s="1078">
        <v>3</v>
      </c>
      <c r="D389" s="1077" t="s">
        <v>5279</v>
      </c>
      <c r="E389" s="1077" t="s">
        <v>4013</v>
      </c>
      <c r="F389" s="1185">
        <v>2</v>
      </c>
      <c r="G389" s="1186"/>
      <c r="H389" s="1186"/>
      <c r="I389" s="1186"/>
      <c r="J389" s="1186"/>
      <c r="K389" s="1186"/>
      <c r="L389" s="1186"/>
      <c r="M389" s="1186"/>
      <c r="N389" s="1186"/>
      <c r="O389" s="1186"/>
      <c r="P389" s="1186"/>
      <c r="Q389" s="1186"/>
      <c r="R389" s="1186"/>
      <c r="S389" s="1186"/>
      <c r="T389" s="1186"/>
      <c r="U389" s="1186"/>
      <c r="V389" s="1186"/>
      <c r="W389" s="1186">
        <v>25.06</v>
      </c>
      <c r="X389" s="1186">
        <v>4.5599999999999996</v>
      </c>
      <c r="Y389" s="1186">
        <v>23.42</v>
      </c>
      <c r="Z389" s="1186">
        <v>3.03</v>
      </c>
      <c r="AA389" s="1186"/>
      <c r="AB389" s="1186"/>
      <c r="AC389" s="1186"/>
      <c r="AD389" s="1187"/>
    </row>
    <row r="390" spans="1:30" x14ac:dyDescent="0.2">
      <c r="A390">
        <f t="shared" si="39"/>
        <v>9</v>
      </c>
      <c r="B390">
        <v>381</v>
      </c>
      <c r="C390" s="1078">
        <v>3</v>
      </c>
      <c r="D390" s="1077" t="s">
        <v>5279</v>
      </c>
      <c r="E390" s="1077" t="s">
        <v>4014</v>
      </c>
      <c r="F390" s="1185">
        <v>2</v>
      </c>
      <c r="G390" s="1186"/>
      <c r="H390" s="1186"/>
      <c r="I390" s="1186"/>
      <c r="J390" s="1186"/>
      <c r="K390" s="1186"/>
      <c r="L390" s="1186"/>
      <c r="M390" s="1186"/>
      <c r="N390" s="1186"/>
      <c r="O390" s="1186"/>
      <c r="P390" s="1186"/>
      <c r="Q390" s="1186"/>
      <c r="R390" s="1186"/>
      <c r="S390" s="1186"/>
      <c r="T390" s="1186"/>
      <c r="U390" s="1186"/>
      <c r="V390" s="1186"/>
      <c r="W390" s="1186">
        <v>28.62</v>
      </c>
      <c r="X390" s="1186">
        <v>4.5599999999999996</v>
      </c>
      <c r="Y390" s="1186">
        <v>26.84</v>
      </c>
      <c r="Z390" s="1186">
        <v>3.02</v>
      </c>
      <c r="AA390" s="1186"/>
      <c r="AB390" s="1186"/>
      <c r="AC390" s="1186"/>
      <c r="AD390" s="1187"/>
    </row>
    <row r="391" spans="1:30" x14ac:dyDescent="0.2">
      <c r="A391">
        <f t="shared" si="39"/>
        <v>9</v>
      </c>
      <c r="B391">
        <v>382</v>
      </c>
      <c r="C391" s="1078">
        <v>3</v>
      </c>
      <c r="D391" s="1077" t="s">
        <v>5279</v>
      </c>
      <c r="E391" s="1077" t="s">
        <v>4015</v>
      </c>
      <c r="F391" s="1185">
        <v>2</v>
      </c>
      <c r="G391" s="1186"/>
      <c r="H391" s="1186"/>
      <c r="I391" s="1186"/>
      <c r="J391" s="1186"/>
      <c r="K391" s="1186"/>
      <c r="L391" s="1186"/>
      <c r="M391" s="1186"/>
      <c r="N391" s="1186"/>
      <c r="O391" s="1186"/>
      <c r="P391" s="1186"/>
      <c r="Q391" s="1186"/>
      <c r="R391" s="1186"/>
      <c r="S391" s="1186"/>
      <c r="T391" s="1186"/>
      <c r="U391" s="1186"/>
      <c r="V391" s="1186"/>
      <c r="W391" s="1186">
        <v>33.74</v>
      </c>
      <c r="X391" s="1186">
        <v>4.55</v>
      </c>
      <c r="Y391" s="1186">
        <v>31.74</v>
      </c>
      <c r="Z391" s="1186">
        <v>3.07</v>
      </c>
      <c r="AA391" s="1186"/>
      <c r="AB391" s="1186"/>
      <c r="AC391" s="1186"/>
      <c r="AD391" s="1187"/>
    </row>
    <row r="392" spans="1:30" x14ac:dyDescent="0.2">
      <c r="A392">
        <f t="shared" si="39"/>
        <v>9</v>
      </c>
      <c r="B392">
        <v>383</v>
      </c>
      <c r="C392" s="1078">
        <v>3</v>
      </c>
      <c r="D392" s="1077" t="s">
        <v>5279</v>
      </c>
      <c r="E392" s="1077" t="s">
        <v>5283</v>
      </c>
      <c r="F392" s="1185">
        <v>4</v>
      </c>
      <c r="G392" s="1186"/>
      <c r="H392" s="1186"/>
      <c r="I392" s="1186"/>
      <c r="J392" s="1186"/>
      <c r="K392" s="1186"/>
      <c r="L392" s="1186"/>
      <c r="M392" s="1186"/>
      <c r="N392" s="1186"/>
      <c r="O392" s="1186"/>
      <c r="P392" s="1186"/>
      <c r="Q392" s="1186"/>
      <c r="R392" s="1186"/>
      <c r="S392" s="1186"/>
      <c r="T392" s="1186"/>
      <c r="U392" s="1186"/>
      <c r="V392" s="1186"/>
      <c r="W392" s="1186">
        <v>5.91</v>
      </c>
      <c r="X392" s="1186">
        <v>4.5599999999999996</v>
      </c>
      <c r="Y392" s="1186">
        <v>5.22</v>
      </c>
      <c r="Z392" s="1186">
        <v>2.75</v>
      </c>
      <c r="AA392" s="1186"/>
      <c r="AB392" s="1186"/>
      <c r="AC392" s="1186"/>
      <c r="AD392" s="1187"/>
    </row>
    <row r="393" spans="1:30" x14ac:dyDescent="0.2">
      <c r="A393">
        <f t="shared" si="39"/>
        <v>9</v>
      </c>
      <c r="B393">
        <v>384</v>
      </c>
      <c r="C393" s="1078">
        <v>3</v>
      </c>
      <c r="D393" s="1077" t="s">
        <v>5279</v>
      </c>
      <c r="E393" s="1077" t="s">
        <v>5284</v>
      </c>
      <c r="F393" s="1185">
        <v>4</v>
      </c>
      <c r="G393" s="1186"/>
      <c r="H393" s="1186"/>
      <c r="I393" s="1186"/>
      <c r="J393" s="1186"/>
      <c r="K393" s="1186"/>
      <c r="L393" s="1186"/>
      <c r="M393" s="1186"/>
      <c r="N393" s="1186"/>
      <c r="O393" s="1186"/>
      <c r="P393" s="1186"/>
      <c r="Q393" s="1186"/>
      <c r="R393" s="1186"/>
      <c r="S393" s="1186"/>
      <c r="T393" s="1186"/>
      <c r="U393" s="1186"/>
      <c r="V393" s="1186"/>
      <c r="W393" s="1186">
        <v>5.91</v>
      </c>
      <c r="X393" s="1186">
        <v>4.5599999999999996</v>
      </c>
      <c r="Y393" s="1186">
        <v>5.22</v>
      </c>
      <c r="Z393" s="1186">
        <v>2.75</v>
      </c>
      <c r="AA393" s="1186"/>
      <c r="AB393" s="1186"/>
      <c r="AC393" s="1186"/>
      <c r="AD393" s="1187"/>
    </row>
    <row r="394" spans="1:30" x14ac:dyDescent="0.2">
      <c r="A394">
        <f t="shared" si="39"/>
        <v>9</v>
      </c>
      <c r="B394">
        <v>385</v>
      </c>
      <c r="C394" s="1078">
        <v>3</v>
      </c>
      <c r="D394" s="1077" t="s">
        <v>5279</v>
      </c>
      <c r="E394" s="1077" t="s">
        <v>5285</v>
      </c>
      <c r="F394" s="1185">
        <v>4</v>
      </c>
      <c r="G394" s="1186"/>
      <c r="H394" s="1186"/>
      <c r="I394" s="1186"/>
      <c r="J394" s="1186"/>
      <c r="K394" s="1186"/>
      <c r="L394" s="1186"/>
      <c r="M394" s="1186"/>
      <c r="N394" s="1186"/>
      <c r="O394" s="1186"/>
      <c r="P394" s="1186"/>
      <c r="Q394" s="1186"/>
      <c r="R394" s="1186"/>
      <c r="S394" s="1186"/>
      <c r="T394" s="1186"/>
      <c r="U394" s="1186"/>
      <c r="V394" s="1186"/>
      <c r="W394" s="1186">
        <v>10.52</v>
      </c>
      <c r="X394" s="1186">
        <v>4.5</v>
      </c>
      <c r="Y394" s="1186">
        <v>8.9</v>
      </c>
      <c r="Z394" s="1186">
        <v>2.72</v>
      </c>
      <c r="AA394" s="1186"/>
      <c r="AB394" s="1186"/>
      <c r="AC394" s="1186"/>
      <c r="AD394" s="1187"/>
    </row>
    <row r="395" spans="1:30" x14ac:dyDescent="0.2">
      <c r="A395">
        <f t="shared" si="39"/>
        <v>9</v>
      </c>
      <c r="B395">
        <v>386</v>
      </c>
      <c r="C395" s="1078">
        <v>3</v>
      </c>
      <c r="D395" s="1077" t="s">
        <v>5279</v>
      </c>
      <c r="E395" s="1077" t="s">
        <v>5286</v>
      </c>
      <c r="F395" s="1185">
        <v>4</v>
      </c>
      <c r="G395" s="1186"/>
      <c r="H395" s="1186"/>
      <c r="I395" s="1186"/>
      <c r="J395" s="1186"/>
      <c r="K395" s="1186"/>
      <c r="L395" s="1186"/>
      <c r="M395" s="1186"/>
      <c r="N395" s="1186"/>
      <c r="O395" s="1186"/>
      <c r="P395" s="1186"/>
      <c r="Q395" s="1186"/>
      <c r="R395" s="1186"/>
      <c r="S395" s="1186"/>
      <c r="T395" s="1186"/>
      <c r="U395" s="1186"/>
      <c r="V395" s="1186"/>
      <c r="W395" s="1186">
        <v>5.91</v>
      </c>
      <c r="X395" s="1186">
        <v>4.5599999999999996</v>
      </c>
      <c r="Y395" s="1186">
        <v>5.22</v>
      </c>
      <c r="Z395" s="1186">
        <v>2.75</v>
      </c>
      <c r="AA395" s="1186"/>
      <c r="AB395" s="1186"/>
      <c r="AC395" s="1186"/>
      <c r="AD395" s="1187"/>
    </row>
    <row r="396" spans="1:30" x14ac:dyDescent="0.2">
      <c r="A396">
        <f t="shared" ref="A396:A459" si="40">A395+(D396&lt;&gt;D395)*1</f>
        <v>9</v>
      </c>
      <c r="B396">
        <v>387</v>
      </c>
      <c r="C396" s="1078">
        <v>3</v>
      </c>
      <c r="D396" s="1077" t="s">
        <v>5279</v>
      </c>
      <c r="E396" s="1077" t="s">
        <v>5287</v>
      </c>
      <c r="F396" s="1185">
        <v>4</v>
      </c>
      <c r="G396" s="1186"/>
      <c r="H396" s="1186"/>
      <c r="I396" s="1186"/>
      <c r="J396" s="1186"/>
      <c r="K396" s="1186"/>
      <c r="L396" s="1186"/>
      <c r="M396" s="1186"/>
      <c r="N396" s="1186"/>
      <c r="O396" s="1186"/>
      <c r="P396" s="1186"/>
      <c r="Q396" s="1186"/>
      <c r="R396" s="1186"/>
      <c r="S396" s="1186"/>
      <c r="T396" s="1186"/>
      <c r="U396" s="1186"/>
      <c r="V396" s="1186"/>
      <c r="W396" s="1186">
        <v>10.52</v>
      </c>
      <c r="X396" s="1186">
        <v>4.5</v>
      </c>
      <c r="Y396" s="1186">
        <v>8.9</v>
      </c>
      <c r="Z396" s="1186">
        <v>2.72</v>
      </c>
      <c r="AA396" s="1186"/>
      <c r="AB396" s="1186"/>
      <c r="AC396" s="1186"/>
      <c r="AD396" s="1187"/>
    </row>
    <row r="397" spans="1:30" x14ac:dyDescent="0.2">
      <c r="A397">
        <f t="shared" si="40"/>
        <v>9</v>
      </c>
      <c r="B397">
        <v>388</v>
      </c>
      <c r="C397" s="1078">
        <v>3</v>
      </c>
      <c r="D397" s="1077" t="s">
        <v>5279</v>
      </c>
      <c r="E397" s="1077" t="s">
        <v>5288</v>
      </c>
      <c r="F397" s="1185">
        <v>4</v>
      </c>
      <c r="G397" s="1186"/>
      <c r="H397" s="1186"/>
      <c r="I397" s="1186"/>
      <c r="J397" s="1186"/>
      <c r="K397" s="1186"/>
      <c r="L397" s="1186"/>
      <c r="M397" s="1186"/>
      <c r="N397" s="1186"/>
      <c r="O397" s="1186"/>
      <c r="P397" s="1186"/>
      <c r="Q397" s="1186"/>
      <c r="R397" s="1186"/>
      <c r="S397" s="1186"/>
      <c r="T397" s="1186"/>
      <c r="U397" s="1186"/>
      <c r="V397" s="1186"/>
      <c r="W397" s="1186">
        <v>5.91</v>
      </c>
      <c r="X397" s="1186">
        <v>4.5599999999999996</v>
      </c>
      <c r="Y397" s="1186">
        <v>5.22</v>
      </c>
      <c r="Z397" s="1186">
        <v>2.75</v>
      </c>
      <c r="AA397" s="1186"/>
      <c r="AB397" s="1186"/>
      <c r="AC397" s="1186"/>
      <c r="AD397" s="1187"/>
    </row>
    <row r="398" spans="1:30" x14ac:dyDescent="0.2">
      <c r="A398">
        <f t="shared" si="40"/>
        <v>9</v>
      </c>
      <c r="B398">
        <v>389</v>
      </c>
      <c r="C398" s="1078">
        <v>3</v>
      </c>
      <c r="D398" s="1077" t="s">
        <v>5279</v>
      </c>
      <c r="E398" s="1077" t="s">
        <v>5289</v>
      </c>
      <c r="F398" s="1185">
        <v>4</v>
      </c>
      <c r="G398" s="1186"/>
      <c r="H398" s="1186"/>
      <c r="I398" s="1186"/>
      <c r="J398" s="1186"/>
      <c r="K398" s="1186"/>
      <c r="L398" s="1186"/>
      <c r="M398" s="1186"/>
      <c r="N398" s="1186"/>
      <c r="O398" s="1186"/>
      <c r="P398" s="1186"/>
      <c r="Q398" s="1186"/>
      <c r="R398" s="1186"/>
      <c r="S398" s="1186"/>
      <c r="T398" s="1186"/>
      <c r="U398" s="1186"/>
      <c r="V398" s="1186"/>
      <c r="W398" s="1186">
        <v>5.91</v>
      </c>
      <c r="X398" s="1186">
        <v>4.5599999999999996</v>
      </c>
      <c r="Y398" s="1186">
        <v>5.22</v>
      </c>
      <c r="Z398" s="1186">
        <v>2.75</v>
      </c>
      <c r="AA398" s="1186"/>
      <c r="AB398" s="1186"/>
      <c r="AC398" s="1186"/>
      <c r="AD398" s="1187"/>
    </row>
    <row r="399" spans="1:30" x14ac:dyDescent="0.2">
      <c r="A399">
        <f t="shared" si="40"/>
        <v>9</v>
      </c>
      <c r="B399">
        <v>390</v>
      </c>
      <c r="C399" s="1078">
        <v>3</v>
      </c>
      <c r="D399" s="1077" t="s">
        <v>5279</v>
      </c>
      <c r="E399" s="1077" t="s">
        <v>5290</v>
      </c>
      <c r="F399" s="1185">
        <v>4</v>
      </c>
      <c r="G399" s="1186"/>
      <c r="H399" s="1186"/>
      <c r="I399" s="1186"/>
      <c r="J399" s="1186"/>
      <c r="K399" s="1186"/>
      <c r="L399" s="1186"/>
      <c r="M399" s="1186"/>
      <c r="N399" s="1186"/>
      <c r="O399" s="1186"/>
      <c r="P399" s="1186"/>
      <c r="Q399" s="1186"/>
      <c r="R399" s="1186"/>
      <c r="S399" s="1186"/>
      <c r="T399" s="1186"/>
      <c r="U399" s="1186"/>
      <c r="V399" s="1186"/>
      <c r="W399" s="1186">
        <v>10.52</v>
      </c>
      <c r="X399" s="1186">
        <v>4.5</v>
      </c>
      <c r="Y399" s="1186">
        <v>8.9</v>
      </c>
      <c r="Z399" s="1186">
        <v>2.72</v>
      </c>
      <c r="AA399" s="1186"/>
      <c r="AB399" s="1186"/>
      <c r="AC399" s="1186"/>
      <c r="AD399" s="1187"/>
    </row>
    <row r="400" spans="1:30" x14ac:dyDescent="0.2">
      <c r="A400">
        <f t="shared" si="40"/>
        <v>9</v>
      </c>
      <c r="B400">
        <v>391</v>
      </c>
      <c r="C400" s="1078">
        <v>3</v>
      </c>
      <c r="D400" s="1077" t="s">
        <v>5279</v>
      </c>
      <c r="E400" s="1077" t="s">
        <v>5291</v>
      </c>
      <c r="F400" s="1185">
        <v>2</v>
      </c>
      <c r="G400" s="1186"/>
      <c r="H400" s="1186"/>
      <c r="I400" s="1186"/>
      <c r="J400" s="1186"/>
      <c r="K400" s="1186"/>
      <c r="L400" s="1186"/>
      <c r="M400" s="1186"/>
      <c r="N400" s="1186"/>
      <c r="O400" s="1186"/>
      <c r="P400" s="1186"/>
      <c r="Q400" s="1186"/>
      <c r="R400" s="1186"/>
      <c r="S400" s="1186"/>
      <c r="T400" s="1186"/>
      <c r="U400" s="1186"/>
      <c r="V400" s="1186"/>
      <c r="W400" s="1186">
        <v>20.2</v>
      </c>
      <c r="X400" s="1186">
        <v>4.7</v>
      </c>
      <c r="Y400" s="1186">
        <v>19.600000000000001</v>
      </c>
      <c r="Z400" s="1186">
        <v>2.9</v>
      </c>
      <c r="AA400" s="1186"/>
      <c r="AB400" s="1186"/>
      <c r="AC400" s="1186"/>
      <c r="AD400" s="1187"/>
    </row>
    <row r="401" spans="1:30" x14ac:dyDescent="0.2">
      <c r="A401">
        <f t="shared" si="40"/>
        <v>9</v>
      </c>
      <c r="B401">
        <v>392</v>
      </c>
      <c r="C401" s="1078">
        <v>3</v>
      </c>
      <c r="D401" s="1077" t="s">
        <v>5279</v>
      </c>
      <c r="E401" s="1077" t="s">
        <v>5292</v>
      </c>
      <c r="F401" s="1185">
        <v>2</v>
      </c>
      <c r="G401" s="1186"/>
      <c r="H401" s="1186"/>
      <c r="I401" s="1186"/>
      <c r="J401" s="1186"/>
      <c r="K401" s="1186"/>
      <c r="L401" s="1186"/>
      <c r="M401" s="1186"/>
      <c r="N401" s="1186"/>
      <c r="O401" s="1186"/>
      <c r="P401" s="1186"/>
      <c r="Q401" s="1186"/>
      <c r="R401" s="1186"/>
      <c r="S401" s="1186"/>
      <c r="T401" s="1186"/>
      <c r="U401" s="1186"/>
      <c r="V401" s="1186"/>
      <c r="W401" s="1186">
        <v>25.6</v>
      </c>
      <c r="X401" s="1186">
        <v>4.5999999999999996</v>
      </c>
      <c r="Y401" s="1186">
        <v>24</v>
      </c>
      <c r="Z401" s="1186">
        <v>2.8</v>
      </c>
      <c r="AA401" s="1186"/>
      <c r="AB401" s="1186"/>
      <c r="AC401" s="1186"/>
      <c r="AD401" s="1187"/>
    </row>
    <row r="402" spans="1:30" x14ac:dyDescent="0.2">
      <c r="A402">
        <f t="shared" si="40"/>
        <v>9</v>
      </c>
      <c r="B402">
        <v>393</v>
      </c>
      <c r="C402" s="1078">
        <v>3</v>
      </c>
      <c r="D402" s="1077" t="s">
        <v>5279</v>
      </c>
      <c r="E402" s="1077" t="s">
        <v>5293</v>
      </c>
      <c r="F402" s="1185">
        <v>2</v>
      </c>
      <c r="G402" s="1186"/>
      <c r="H402" s="1186"/>
      <c r="I402" s="1186"/>
      <c r="J402" s="1186"/>
      <c r="K402" s="1186"/>
      <c r="L402" s="1186"/>
      <c r="M402" s="1186"/>
      <c r="N402" s="1186"/>
      <c r="O402" s="1186"/>
      <c r="P402" s="1186"/>
      <c r="Q402" s="1186"/>
      <c r="R402" s="1186"/>
      <c r="S402" s="1186"/>
      <c r="T402" s="1186"/>
      <c r="U402" s="1186"/>
      <c r="V402" s="1186"/>
      <c r="W402" s="1186">
        <v>34.1</v>
      </c>
      <c r="X402" s="1186">
        <v>4.5</v>
      </c>
      <c r="Y402" s="1186">
        <v>31.6</v>
      </c>
      <c r="Z402" s="1186">
        <v>2.8</v>
      </c>
      <c r="AA402" s="1186"/>
      <c r="AB402" s="1186"/>
      <c r="AC402" s="1186"/>
      <c r="AD402" s="1187"/>
    </row>
    <row r="403" spans="1:30" x14ac:dyDescent="0.2">
      <c r="A403">
        <f t="shared" si="40"/>
        <v>9</v>
      </c>
      <c r="B403">
        <v>394</v>
      </c>
      <c r="C403" s="1078">
        <v>3</v>
      </c>
      <c r="D403" s="1077" t="s">
        <v>5279</v>
      </c>
      <c r="E403" s="1077" t="s">
        <v>5294</v>
      </c>
      <c r="F403" s="1185">
        <v>2</v>
      </c>
      <c r="G403" s="1186"/>
      <c r="H403" s="1186"/>
      <c r="I403" s="1186"/>
      <c r="J403" s="1186"/>
      <c r="K403" s="1186"/>
      <c r="L403" s="1186"/>
      <c r="M403" s="1186"/>
      <c r="N403" s="1186"/>
      <c r="O403" s="1186"/>
      <c r="P403" s="1186"/>
      <c r="Q403" s="1186"/>
      <c r="R403" s="1186"/>
      <c r="S403" s="1186"/>
      <c r="T403" s="1186"/>
      <c r="U403" s="1186"/>
      <c r="V403" s="1186"/>
      <c r="W403" s="1186">
        <v>42.4</v>
      </c>
      <c r="X403" s="1186">
        <v>4.5999999999999996</v>
      </c>
      <c r="Y403" s="1186">
        <v>39</v>
      </c>
      <c r="Z403" s="1186">
        <v>2.9</v>
      </c>
      <c r="AA403" s="1186"/>
      <c r="AB403" s="1186"/>
      <c r="AC403" s="1186"/>
      <c r="AD403" s="1187"/>
    </row>
    <row r="404" spans="1:30" x14ac:dyDescent="0.2">
      <c r="A404">
        <f t="shared" si="40"/>
        <v>9</v>
      </c>
      <c r="B404">
        <v>395</v>
      </c>
      <c r="C404" s="1078">
        <v>3</v>
      </c>
      <c r="D404" s="1077" t="s">
        <v>5279</v>
      </c>
      <c r="E404" s="1077" t="s">
        <v>5295</v>
      </c>
      <c r="F404" s="1185">
        <v>3</v>
      </c>
      <c r="G404" s="1186"/>
      <c r="H404" s="1186"/>
      <c r="I404" s="1186"/>
      <c r="J404" s="1186"/>
      <c r="K404" s="1186"/>
      <c r="L404" s="1186"/>
      <c r="M404" s="1186"/>
      <c r="N404" s="1186"/>
      <c r="O404" s="1186"/>
      <c r="P404" s="1186"/>
      <c r="Q404" s="1186"/>
      <c r="R404" s="1186"/>
      <c r="S404" s="1186"/>
      <c r="T404" s="1186"/>
      <c r="U404" s="1186"/>
      <c r="V404" s="1186"/>
      <c r="W404" s="1186">
        <v>51.2</v>
      </c>
      <c r="X404" s="1186">
        <v>4.5</v>
      </c>
      <c r="Y404" s="1186">
        <v>48</v>
      </c>
      <c r="Z404" s="1186">
        <v>2.7</v>
      </c>
      <c r="AA404" s="1186"/>
      <c r="AB404" s="1186"/>
      <c r="AC404" s="1186"/>
      <c r="AD404" s="1187"/>
    </row>
    <row r="405" spans="1:30" x14ac:dyDescent="0.2">
      <c r="A405">
        <f t="shared" si="40"/>
        <v>9</v>
      </c>
      <c r="B405">
        <v>396</v>
      </c>
      <c r="C405" s="1081">
        <v>3</v>
      </c>
      <c r="D405" s="1082" t="s">
        <v>5279</v>
      </c>
      <c r="E405" s="1082" t="s">
        <v>5296</v>
      </c>
      <c r="F405" s="1188">
        <v>3</v>
      </c>
      <c r="G405" s="1189"/>
      <c r="H405" s="1189"/>
      <c r="I405" s="1189"/>
      <c r="J405" s="1189"/>
      <c r="K405" s="1189"/>
      <c r="L405" s="1189"/>
      <c r="M405" s="1189"/>
      <c r="N405" s="1189"/>
      <c r="O405" s="1189"/>
      <c r="P405" s="1189"/>
      <c r="Q405" s="1189"/>
      <c r="R405" s="1189"/>
      <c r="S405" s="1189"/>
      <c r="T405" s="1189"/>
      <c r="U405" s="1189"/>
      <c r="V405" s="1189"/>
      <c r="W405" s="1189">
        <v>68.3</v>
      </c>
      <c r="X405" s="1189">
        <v>4.4000000000000004</v>
      </c>
      <c r="Y405" s="1189">
        <v>63.2</v>
      </c>
      <c r="Z405" s="1189">
        <v>2.7</v>
      </c>
      <c r="AA405" s="1189"/>
      <c r="AB405" s="1189"/>
      <c r="AC405" s="1189"/>
      <c r="AD405" s="1194"/>
    </row>
    <row r="406" spans="1:30" x14ac:dyDescent="0.2">
      <c r="A406">
        <f t="shared" si="40"/>
        <v>9</v>
      </c>
      <c r="B406">
        <v>397</v>
      </c>
      <c r="C406" s="1190">
        <v>3</v>
      </c>
      <c r="D406" s="1191" t="s">
        <v>5279</v>
      </c>
      <c r="E406" s="1191" t="s">
        <v>5297</v>
      </c>
      <c r="F406" s="1192">
        <v>3</v>
      </c>
      <c r="G406" s="1193"/>
      <c r="H406" s="1193"/>
      <c r="I406" s="1193"/>
      <c r="J406" s="1193"/>
      <c r="K406" s="1193"/>
      <c r="L406" s="1193"/>
      <c r="M406" s="1193"/>
      <c r="N406" s="1193"/>
      <c r="O406" s="1193"/>
      <c r="P406" s="1193"/>
      <c r="Q406" s="1193"/>
      <c r="R406" s="1193"/>
      <c r="S406" s="1193"/>
      <c r="T406" s="1193"/>
      <c r="U406" s="1193"/>
      <c r="V406" s="1193"/>
      <c r="W406" s="1193">
        <v>84.9</v>
      </c>
      <c r="X406" s="1193">
        <v>4.5</v>
      </c>
      <c r="Y406" s="1193">
        <v>78.099999999999994</v>
      </c>
      <c r="Z406" s="1193">
        <v>2.8</v>
      </c>
      <c r="AA406" s="1193"/>
      <c r="AB406" s="1193"/>
      <c r="AC406" s="1193"/>
      <c r="AD406" s="1195"/>
    </row>
    <row r="407" spans="1:30" x14ac:dyDescent="0.2">
      <c r="A407">
        <f t="shared" si="40"/>
        <v>9</v>
      </c>
      <c r="B407">
        <v>398</v>
      </c>
      <c r="C407" s="1078">
        <v>2</v>
      </c>
      <c r="D407" s="1077" t="s">
        <v>5279</v>
      </c>
      <c r="E407" s="1077" t="s">
        <v>4439</v>
      </c>
      <c r="F407" s="1185">
        <v>1</v>
      </c>
      <c r="G407" s="1186">
        <v>2.94</v>
      </c>
      <c r="H407" s="1186">
        <v>2.4300000000000002</v>
      </c>
      <c r="I407" s="1186">
        <v>3.87</v>
      </c>
      <c r="J407" s="1186">
        <v>3.1</v>
      </c>
      <c r="K407" s="1186">
        <v>4.8</v>
      </c>
      <c r="L407" s="1186">
        <v>3.69</v>
      </c>
      <c r="M407" s="1186">
        <v>6.22</v>
      </c>
      <c r="N407" s="1186">
        <v>4.78</v>
      </c>
      <c r="O407" s="1186">
        <v>7.68</v>
      </c>
      <c r="P407" s="1186">
        <v>5.79</v>
      </c>
      <c r="Q407" s="1186">
        <v>3.45</v>
      </c>
      <c r="R407" s="1186">
        <v>2</v>
      </c>
      <c r="S407" s="1186">
        <v>5.67</v>
      </c>
      <c r="T407" s="1186">
        <v>3.05</v>
      </c>
      <c r="U407" s="1186">
        <v>8.6999999999999993</v>
      </c>
      <c r="V407" s="1186">
        <v>3.34</v>
      </c>
      <c r="W407" s="1186"/>
      <c r="X407" s="1186"/>
      <c r="Y407" s="1186"/>
      <c r="Z407" s="1186"/>
      <c r="AA407" s="1186"/>
      <c r="AB407" s="1186"/>
      <c r="AC407" s="1186"/>
      <c r="AD407" s="1187"/>
    </row>
    <row r="408" spans="1:30" x14ac:dyDescent="0.2">
      <c r="A408">
        <f t="shared" si="40"/>
        <v>9</v>
      </c>
      <c r="B408">
        <v>399</v>
      </c>
      <c r="C408" s="1078">
        <v>2</v>
      </c>
      <c r="D408" s="1077" t="s">
        <v>5279</v>
      </c>
      <c r="E408" s="1077" t="s">
        <v>4440</v>
      </c>
      <c r="F408" s="1185">
        <v>1</v>
      </c>
      <c r="G408" s="1186">
        <v>3.63</v>
      </c>
      <c r="H408" s="1186">
        <v>2.42</v>
      </c>
      <c r="I408" s="1186">
        <v>4.7300000000000004</v>
      </c>
      <c r="J408" s="1186">
        <v>3.01</v>
      </c>
      <c r="K408" s="1186">
        <v>6</v>
      </c>
      <c r="L408" s="1186">
        <v>3.76</v>
      </c>
      <c r="M408" s="1186">
        <v>7.83</v>
      </c>
      <c r="N408" s="1186">
        <v>4.83</v>
      </c>
      <c r="O408" s="1186">
        <v>9.6999999999999993</v>
      </c>
      <c r="P408" s="1186">
        <v>5.89</v>
      </c>
      <c r="Q408" s="1186">
        <v>4.3899999999999997</v>
      </c>
      <c r="R408" s="1186">
        <v>2.08</v>
      </c>
      <c r="S408" s="1186">
        <v>7.08</v>
      </c>
      <c r="T408" s="1186">
        <v>3.11</v>
      </c>
      <c r="U408" s="1186">
        <v>9.75</v>
      </c>
      <c r="V408" s="1186">
        <v>3.4</v>
      </c>
      <c r="W408" s="1186"/>
      <c r="X408" s="1186"/>
      <c r="Y408" s="1186"/>
      <c r="Z408" s="1186"/>
      <c r="AA408" s="1186"/>
      <c r="AB408" s="1186"/>
      <c r="AC408" s="1186"/>
      <c r="AD408" s="1187"/>
    </row>
    <row r="409" spans="1:30" x14ac:dyDescent="0.2">
      <c r="A409">
        <f t="shared" si="40"/>
        <v>9</v>
      </c>
      <c r="B409">
        <v>400</v>
      </c>
      <c r="C409" s="1078">
        <v>2</v>
      </c>
      <c r="D409" s="1077" t="s">
        <v>5279</v>
      </c>
      <c r="E409" s="1077" t="s">
        <v>4441</v>
      </c>
      <c r="F409" s="1185">
        <v>1</v>
      </c>
      <c r="G409" s="1186">
        <v>5.63</v>
      </c>
      <c r="H409" s="1186">
        <v>2.64</v>
      </c>
      <c r="I409" s="1186">
        <v>7.32</v>
      </c>
      <c r="J409" s="1186">
        <v>3.2</v>
      </c>
      <c r="K409" s="1186">
        <v>8.8000000000000007</v>
      </c>
      <c r="L409" s="1186">
        <v>3.83</v>
      </c>
      <c r="M409" s="1186">
        <v>11.45</v>
      </c>
      <c r="N409" s="1186">
        <v>4.8499999999999996</v>
      </c>
      <c r="O409" s="1186">
        <v>13.98</v>
      </c>
      <c r="P409" s="1186">
        <v>5.8</v>
      </c>
      <c r="Q409" s="1186">
        <v>6.63</v>
      </c>
      <c r="R409" s="1186">
        <v>2.1800000000000002</v>
      </c>
      <c r="S409" s="1186">
        <v>10.48</v>
      </c>
      <c r="T409" s="1186">
        <v>3.18</v>
      </c>
      <c r="U409" s="1186">
        <v>13.67</v>
      </c>
      <c r="V409" s="1186">
        <v>3.54</v>
      </c>
      <c r="W409" s="1186"/>
      <c r="X409" s="1186"/>
      <c r="Y409" s="1186"/>
      <c r="Z409" s="1186"/>
      <c r="AA409" s="1186"/>
      <c r="AB409" s="1186"/>
      <c r="AC409" s="1186"/>
      <c r="AD409" s="1187"/>
    </row>
    <row r="410" spans="1:30" x14ac:dyDescent="0.2">
      <c r="A410">
        <f t="shared" si="40"/>
        <v>9</v>
      </c>
      <c r="B410">
        <v>401</v>
      </c>
      <c r="C410" s="1078">
        <v>2</v>
      </c>
      <c r="D410" s="1077" t="s">
        <v>5279</v>
      </c>
      <c r="E410" s="1077" t="s">
        <v>4442</v>
      </c>
      <c r="F410" s="1185">
        <v>1</v>
      </c>
      <c r="G410" s="1186">
        <v>7.77</v>
      </c>
      <c r="H410" s="1186">
        <v>2.5099999999999998</v>
      </c>
      <c r="I410" s="1186">
        <v>10.029999999999999</v>
      </c>
      <c r="J410" s="1186">
        <v>3.04</v>
      </c>
      <c r="K410" s="1186">
        <v>12</v>
      </c>
      <c r="L410" s="1186">
        <v>3.57</v>
      </c>
      <c r="M410" s="1186">
        <v>15.92</v>
      </c>
      <c r="N410" s="1186">
        <v>4.5199999999999996</v>
      </c>
      <c r="O410" s="1186">
        <v>19.350000000000001</v>
      </c>
      <c r="P410" s="1186">
        <v>5.37</v>
      </c>
      <c r="Q410" s="1186">
        <v>9.4</v>
      </c>
      <c r="R410" s="1186">
        <v>2.2200000000000002</v>
      </c>
      <c r="S410" s="1186">
        <v>14.46</v>
      </c>
      <c r="T410" s="1186">
        <v>3.1</v>
      </c>
      <c r="U410" s="1186">
        <v>19.11</v>
      </c>
      <c r="V410" s="1186">
        <v>3.52</v>
      </c>
      <c r="W410" s="1186"/>
      <c r="X410" s="1186"/>
      <c r="Y410" s="1186"/>
      <c r="Z410" s="1186"/>
      <c r="AA410" s="1186"/>
      <c r="AB410" s="1186"/>
      <c r="AC410" s="1186"/>
      <c r="AD410" s="1187"/>
    </row>
    <row r="411" spans="1:30" x14ac:dyDescent="0.2">
      <c r="A411">
        <f t="shared" si="40"/>
        <v>9</v>
      </c>
      <c r="B411">
        <v>402</v>
      </c>
      <c r="C411" s="1078">
        <v>2</v>
      </c>
      <c r="D411" s="1077" t="s">
        <v>5279</v>
      </c>
      <c r="E411" s="1077" t="s">
        <v>4443</v>
      </c>
      <c r="F411" s="1185">
        <v>1</v>
      </c>
      <c r="G411" s="1186">
        <v>9.52</v>
      </c>
      <c r="H411" s="1186">
        <v>2.52</v>
      </c>
      <c r="I411" s="1186">
        <v>11.51</v>
      </c>
      <c r="J411" s="1186">
        <v>2.92</v>
      </c>
      <c r="K411" s="1186">
        <v>13.9</v>
      </c>
      <c r="L411" s="1186">
        <v>3.54</v>
      </c>
      <c r="M411" s="1186">
        <v>17.52</v>
      </c>
      <c r="N411" s="1186">
        <v>4.1399999999999997</v>
      </c>
      <c r="O411" s="1186">
        <v>21.02</v>
      </c>
      <c r="P411" s="1186">
        <v>4.92</v>
      </c>
      <c r="Q411" s="1186">
        <v>11.41</v>
      </c>
      <c r="R411" s="1186">
        <v>2.19</v>
      </c>
      <c r="S411" s="1186">
        <v>17.3</v>
      </c>
      <c r="T411" s="1186">
        <v>3.06</v>
      </c>
      <c r="U411" s="1186">
        <v>20.8</v>
      </c>
      <c r="V411" s="1186">
        <v>3.47</v>
      </c>
      <c r="W411" s="1186"/>
      <c r="X411" s="1186"/>
      <c r="Y411" s="1186"/>
      <c r="Z411" s="1186"/>
      <c r="AA411" s="1186"/>
      <c r="AB411" s="1186"/>
      <c r="AC411" s="1186"/>
      <c r="AD411" s="1187"/>
    </row>
    <row r="412" spans="1:30" x14ac:dyDescent="0.2">
      <c r="A412">
        <f t="shared" si="40"/>
        <v>9</v>
      </c>
      <c r="B412">
        <v>403</v>
      </c>
      <c r="C412" s="1078">
        <v>2</v>
      </c>
      <c r="D412" s="1077" t="s">
        <v>5279</v>
      </c>
      <c r="E412" s="1077" t="s">
        <v>4526</v>
      </c>
      <c r="F412" s="1185">
        <v>4</v>
      </c>
      <c r="G412" s="1186">
        <v>5.01</v>
      </c>
      <c r="H412" s="1186">
        <v>2.13</v>
      </c>
      <c r="I412" s="1186">
        <v>6.2</v>
      </c>
      <c r="J412" s="1186">
        <v>2.82</v>
      </c>
      <c r="K412" s="1186">
        <v>5.31</v>
      </c>
      <c r="L412" s="1186">
        <v>4.05</v>
      </c>
      <c r="M412" s="1186">
        <v>2.5499999999999998</v>
      </c>
      <c r="N412" s="1186">
        <v>5.0599999999999996</v>
      </c>
      <c r="O412" s="1186">
        <v>3.2</v>
      </c>
      <c r="P412" s="1186">
        <v>6.6</v>
      </c>
      <c r="Q412" s="1186">
        <v>3.75</v>
      </c>
      <c r="R412" s="1186">
        <v>2.12</v>
      </c>
      <c r="S412" s="1186">
        <v>5.6</v>
      </c>
      <c r="T412" s="1186">
        <v>3</v>
      </c>
      <c r="U412" s="1186"/>
      <c r="V412" s="1186"/>
      <c r="W412" s="1186"/>
      <c r="X412" s="1186"/>
      <c r="Y412" s="1186"/>
      <c r="Z412" s="1186"/>
      <c r="AA412" s="1186"/>
      <c r="AB412" s="1186"/>
      <c r="AC412" s="1186"/>
      <c r="AD412" s="1187"/>
    </row>
    <row r="413" spans="1:30" x14ac:dyDescent="0.2">
      <c r="A413">
        <f t="shared" si="40"/>
        <v>9</v>
      </c>
      <c r="B413">
        <v>404</v>
      </c>
      <c r="C413" s="1078">
        <v>2</v>
      </c>
      <c r="D413" s="1077" t="s">
        <v>5279</v>
      </c>
      <c r="E413" s="1077" t="s">
        <v>4527</v>
      </c>
      <c r="F413" s="1185">
        <v>4</v>
      </c>
      <c r="G413" s="1186">
        <v>7.57</v>
      </c>
      <c r="H413" s="1186">
        <v>1.98</v>
      </c>
      <c r="I413" s="1186">
        <v>9.3000000000000007</v>
      </c>
      <c r="J413" s="1186">
        <v>2.34</v>
      </c>
      <c r="K413" s="1186">
        <v>5.31</v>
      </c>
      <c r="L413" s="1186">
        <v>4.05</v>
      </c>
      <c r="M413" s="1186">
        <v>2.5499999999999998</v>
      </c>
      <c r="N413" s="1186">
        <v>5.0599999999999996</v>
      </c>
      <c r="O413" s="1186">
        <v>3.2</v>
      </c>
      <c r="P413" s="1186">
        <v>5.4</v>
      </c>
      <c r="Q413" s="1186">
        <v>3.75</v>
      </c>
      <c r="R413" s="1186">
        <v>2.12</v>
      </c>
      <c r="S413" s="1186">
        <v>5.6</v>
      </c>
      <c r="T413" s="1186">
        <v>3</v>
      </c>
      <c r="U413" s="1186">
        <v>6.52</v>
      </c>
      <c r="V413" s="1186">
        <v>3.45</v>
      </c>
      <c r="W413" s="1186"/>
      <c r="X413" s="1186"/>
      <c r="Y413" s="1186"/>
      <c r="Z413" s="1186"/>
      <c r="AA413" s="1186"/>
      <c r="AB413" s="1186"/>
      <c r="AC413" s="1186"/>
      <c r="AD413" s="1187"/>
    </row>
    <row r="414" spans="1:30" x14ac:dyDescent="0.2">
      <c r="A414">
        <f t="shared" si="40"/>
        <v>9</v>
      </c>
      <c r="B414">
        <v>405</v>
      </c>
      <c r="C414" s="1078">
        <v>2</v>
      </c>
      <c r="D414" s="1077" t="s">
        <v>5279</v>
      </c>
      <c r="E414" s="1077" t="s">
        <v>4528</v>
      </c>
      <c r="F414" s="1185">
        <v>4</v>
      </c>
      <c r="G414" s="1186">
        <v>12.05</v>
      </c>
      <c r="H414" s="1186">
        <v>2.0099999999999998</v>
      </c>
      <c r="I414" s="1186">
        <v>14.97</v>
      </c>
      <c r="J414" s="1186">
        <v>2.37</v>
      </c>
      <c r="K414" s="1186">
        <v>8.27</v>
      </c>
      <c r="L414" s="1186">
        <v>3.78</v>
      </c>
      <c r="M414" s="1186">
        <v>4.74</v>
      </c>
      <c r="N414" s="1186">
        <v>4.9000000000000004</v>
      </c>
      <c r="O414" s="1186">
        <v>5.4</v>
      </c>
      <c r="P414" s="1186">
        <v>5.45</v>
      </c>
      <c r="Q414" s="1186">
        <v>14.47</v>
      </c>
      <c r="R414" s="1186">
        <v>1.71</v>
      </c>
      <c r="S414" s="1186">
        <v>5.36</v>
      </c>
      <c r="T414" s="1186">
        <v>3.17</v>
      </c>
      <c r="U414" s="1186">
        <v>6.03</v>
      </c>
      <c r="V414" s="1186">
        <v>3.52</v>
      </c>
      <c r="W414" s="1186"/>
      <c r="X414" s="1186"/>
      <c r="Y414" s="1186"/>
      <c r="Z414" s="1186"/>
      <c r="AA414" s="1186"/>
      <c r="AB414" s="1186"/>
      <c r="AC414" s="1186"/>
      <c r="AD414" s="1187"/>
    </row>
    <row r="415" spans="1:30" x14ac:dyDescent="0.2">
      <c r="A415">
        <f t="shared" si="40"/>
        <v>9</v>
      </c>
      <c r="B415">
        <v>406</v>
      </c>
      <c r="C415" s="1078">
        <v>2</v>
      </c>
      <c r="D415" s="1077" t="s">
        <v>5279</v>
      </c>
      <c r="E415" s="1077" t="s">
        <v>5298</v>
      </c>
      <c r="F415" s="1185">
        <v>1</v>
      </c>
      <c r="G415" s="1186">
        <v>4.7</v>
      </c>
      <c r="H415" s="1186">
        <v>3</v>
      </c>
      <c r="I415" s="1186">
        <v>5.8</v>
      </c>
      <c r="J415" s="1186">
        <v>3.6</v>
      </c>
      <c r="K415" s="1186">
        <v>7.2</v>
      </c>
      <c r="L415" s="1186">
        <v>4.3</v>
      </c>
      <c r="M415" s="1186">
        <v>8.1</v>
      </c>
      <c r="N415" s="1186">
        <v>4.7</v>
      </c>
      <c r="O415" s="1186">
        <v>9.5</v>
      </c>
      <c r="P415" s="1186">
        <v>5.5</v>
      </c>
      <c r="Q415" s="1186">
        <v>6.2</v>
      </c>
      <c r="R415" s="1186">
        <v>2.6</v>
      </c>
      <c r="S415" s="1186">
        <v>8.5</v>
      </c>
      <c r="T415" s="1186">
        <v>3.4</v>
      </c>
      <c r="U415" s="1186">
        <v>9.5</v>
      </c>
      <c r="V415" s="1186">
        <v>3.7</v>
      </c>
      <c r="W415" s="1186"/>
      <c r="X415" s="1186"/>
      <c r="Y415" s="1186"/>
      <c r="Z415" s="1186"/>
      <c r="AA415" s="1186"/>
      <c r="AB415" s="1186"/>
      <c r="AC415" s="1186"/>
      <c r="AD415" s="1187"/>
    </row>
    <row r="416" spans="1:30" x14ac:dyDescent="0.2">
      <c r="A416">
        <f t="shared" si="40"/>
        <v>9</v>
      </c>
      <c r="B416">
        <v>407</v>
      </c>
      <c r="C416" s="1078">
        <v>2</v>
      </c>
      <c r="D416" s="1077" t="s">
        <v>5279</v>
      </c>
      <c r="E416" s="1077" t="s">
        <v>5299</v>
      </c>
      <c r="F416" s="1185">
        <v>1</v>
      </c>
      <c r="G416" s="1186">
        <v>6.3</v>
      </c>
      <c r="H416" s="1186">
        <v>3.1</v>
      </c>
      <c r="I416" s="1186">
        <v>7.6</v>
      </c>
      <c r="J416" s="1186">
        <v>3.5</v>
      </c>
      <c r="K416" s="1186">
        <v>9.3000000000000007</v>
      </c>
      <c r="L416" s="1186">
        <v>4.2</v>
      </c>
      <c r="M416" s="1186">
        <v>10.5</v>
      </c>
      <c r="N416" s="1186">
        <v>4.5999999999999996</v>
      </c>
      <c r="O416" s="1186">
        <v>12.6</v>
      </c>
      <c r="P416" s="1186">
        <v>5.5</v>
      </c>
      <c r="Q416" s="1186">
        <v>8.1</v>
      </c>
      <c r="R416" s="1186">
        <v>2.6</v>
      </c>
      <c r="S416" s="1186">
        <v>10.8</v>
      </c>
      <c r="T416" s="1186">
        <v>3.1</v>
      </c>
      <c r="U416" s="1186">
        <v>12.7</v>
      </c>
      <c r="V416" s="1186">
        <v>3.6</v>
      </c>
      <c r="W416" s="1186"/>
      <c r="X416" s="1186"/>
      <c r="Y416" s="1186"/>
      <c r="Z416" s="1186"/>
      <c r="AA416" s="1186"/>
      <c r="AB416" s="1186"/>
      <c r="AC416" s="1186"/>
      <c r="AD416" s="1187"/>
    </row>
    <row r="417" spans="1:30" x14ac:dyDescent="0.2">
      <c r="A417">
        <f t="shared" si="40"/>
        <v>9</v>
      </c>
      <c r="B417">
        <v>408</v>
      </c>
      <c r="C417" s="1078">
        <v>2</v>
      </c>
      <c r="D417" s="1077" t="s">
        <v>5279</v>
      </c>
      <c r="E417" s="1077" t="s">
        <v>5300</v>
      </c>
      <c r="F417" s="1185">
        <v>1</v>
      </c>
      <c r="G417" s="1186">
        <v>9.5</v>
      </c>
      <c r="H417" s="1186">
        <v>3.1</v>
      </c>
      <c r="I417" s="1186">
        <v>11.2</v>
      </c>
      <c r="J417" s="1186">
        <v>2.6</v>
      </c>
      <c r="K417" s="1186">
        <v>13.9</v>
      </c>
      <c r="L417" s="1186">
        <v>4.3</v>
      </c>
      <c r="M417" s="1186">
        <v>15.5</v>
      </c>
      <c r="N417" s="1186">
        <v>5</v>
      </c>
      <c r="O417" s="1186">
        <v>18.5</v>
      </c>
      <c r="P417" s="1186">
        <v>5.7</v>
      </c>
      <c r="Q417" s="1186">
        <v>11.8</v>
      </c>
      <c r="R417" s="1186">
        <v>2.6</v>
      </c>
      <c r="S417" s="1186">
        <v>15</v>
      </c>
      <c r="T417" s="1186">
        <v>3.4</v>
      </c>
      <c r="U417" s="1186">
        <v>18.399999999999999</v>
      </c>
      <c r="V417" s="1186">
        <v>3.7</v>
      </c>
      <c r="W417" s="1186"/>
      <c r="X417" s="1186"/>
      <c r="Y417" s="1186"/>
      <c r="Z417" s="1186"/>
      <c r="AA417" s="1186"/>
      <c r="AB417" s="1186"/>
      <c r="AC417" s="1186"/>
      <c r="AD417" s="1187"/>
    </row>
    <row r="418" spans="1:30" x14ac:dyDescent="0.2">
      <c r="A418">
        <f t="shared" si="40"/>
        <v>9</v>
      </c>
      <c r="B418">
        <v>409</v>
      </c>
      <c r="C418" s="1078">
        <v>2</v>
      </c>
      <c r="D418" s="1077" t="s">
        <v>5279</v>
      </c>
      <c r="E418" s="1077" t="s">
        <v>5301</v>
      </c>
      <c r="F418" s="1185">
        <v>1</v>
      </c>
      <c r="G418" s="1186">
        <v>13.3</v>
      </c>
      <c r="H418" s="1186">
        <v>3</v>
      </c>
      <c r="I418" s="1186">
        <v>15.6</v>
      </c>
      <c r="J418" s="1186">
        <v>3.5</v>
      </c>
      <c r="K418" s="1186">
        <v>18.7</v>
      </c>
      <c r="L418" s="1186">
        <v>4.2</v>
      </c>
      <c r="M418" s="1186">
        <v>20.8</v>
      </c>
      <c r="N418" s="1186">
        <v>4.5999999999999996</v>
      </c>
      <c r="O418" s="1186">
        <v>25</v>
      </c>
      <c r="P418" s="1186">
        <v>5.5</v>
      </c>
      <c r="Q418" s="1186">
        <v>16.5</v>
      </c>
      <c r="R418" s="1186">
        <v>2.5</v>
      </c>
      <c r="S418" s="1186">
        <v>21.5</v>
      </c>
      <c r="T418" s="1186">
        <v>3.2</v>
      </c>
      <c r="U418" s="1186">
        <v>25.3</v>
      </c>
      <c r="V418" s="1186">
        <v>3.7</v>
      </c>
      <c r="W418" s="1186"/>
      <c r="X418" s="1186"/>
      <c r="Y418" s="1186"/>
      <c r="Z418" s="1186"/>
      <c r="AA418" s="1186"/>
      <c r="AB418" s="1186"/>
      <c r="AC418" s="1186"/>
      <c r="AD418" s="1187"/>
    </row>
    <row r="419" spans="1:30" x14ac:dyDescent="0.2">
      <c r="A419">
        <f t="shared" si="40"/>
        <v>9</v>
      </c>
      <c r="B419">
        <v>410</v>
      </c>
      <c r="C419" s="1078">
        <v>2</v>
      </c>
      <c r="D419" s="1077" t="s">
        <v>5279</v>
      </c>
      <c r="E419" s="1077" t="s">
        <v>5302</v>
      </c>
      <c r="F419" s="1185">
        <v>1</v>
      </c>
      <c r="G419" s="1186">
        <v>16</v>
      </c>
      <c r="H419" s="1186">
        <v>3</v>
      </c>
      <c r="I419" s="1186">
        <v>19.5</v>
      </c>
      <c r="J419" s="1186">
        <v>3.5</v>
      </c>
      <c r="K419" s="1186">
        <v>23.2</v>
      </c>
      <c r="L419" s="1186">
        <v>4</v>
      </c>
      <c r="M419" s="1186">
        <v>26</v>
      </c>
      <c r="N419" s="1186">
        <v>4.5</v>
      </c>
      <c r="O419" s="1186">
        <v>31.2</v>
      </c>
      <c r="P419" s="1186">
        <v>5.3</v>
      </c>
      <c r="Q419" s="1186">
        <v>20.100000000000001</v>
      </c>
      <c r="R419" s="1186">
        <v>2.5</v>
      </c>
      <c r="S419" s="1186">
        <v>26.1</v>
      </c>
      <c r="T419" s="1186">
        <v>3.2</v>
      </c>
      <c r="U419" s="1186">
        <v>32</v>
      </c>
      <c r="V419" s="1186">
        <v>3.6</v>
      </c>
      <c r="W419" s="1186"/>
      <c r="X419" s="1186"/>
      <c r="Y419" s="1186"/>
      <c r="Z419" s="1186"/>
      <c r="AA419" s="1186"/>
      <c r="AB419" s="1186"/>
      <c r="AC419" s="1186"/>
      <c r="AD419" s="1187"/>
    </row>
    <row r="420" spans="1:30" x14ac:dyDescent="0.2">
      <c r="A420">
        <f t="shared" si="40"/>
        <v>9</v>
      </c>
      <c r="B420">
        <v>411</v>
      </c>
      <c r="C420" s="1078">
        <v>2</v>
      </c>
      <c r="D420" s="1077" t="s">
        <v>5279</v>
      </c>
      <c r="E420" s="1077" t="s">
        <v>5303</v>
      </c>
      <c r="F420" s="1185">
        <v>1</v>
      </c>
      <c r="G420" s="1186">
        <v>21.5</v>
      </c>
      <c r="H420" s="1186">
        <v>3</v>
      </c>
      <c r="I420" s="1186">
        <v>25.6</v>
      </c>
      <c r="J420" s="1186">
        <v>3.5</v>
      </c>
      <c r="K420" s="1186">
        <v>29.8</v>
      </c>
      <c r="L420" s="1186">
        <v>4</v>
      </c>
      <c r="M420" s="1186">
        <v>32.9</v>
      </c>
      <c r="N420" s="1186">
        <v>4.4000000000000004</v>
      </c>
      <c r="O420" s="1186">
        <v>39</v>
      </c>
      <c r="P420" s="1186">
        <v>5.2</v>
      </c>
      <c r="Q420" s="1186">
        <v>27.5</v>
      </c>
      <c r="R420" s="1186">
        <v>2.5</v>
      </c>
      <c r="S420" s="1186">
        <v>34.5</v>
      </c>
      <c r="T420" s="1186">
        <v>3.2</v>
      </c>
      <c r="U420" s="1186">
        <v>42</v>
      </c>
      <c r="V420" s="1186">
        <v>3.6</v>
      </c>
      <c r="W420" s="1186"/>
      <c r="X420" s="1186"/>
      <c r="Y420" s="1186"/>
      <c r="Z420" s="1186"/>
      <c r="AA420" s="1186"/>
      <c r="AB420" s="1186"/>
      <c r="AC420" s="1186"/>
      <c r="AD420" s="1187"/>
    </row>
    <row r="421" spans="1:30" x14ac:dyDescent="0.2">
      <c r="A421">
        <f t="shared" si="40"/>
        <v>9</v>
      </c>
      <c r="B421">
        <v>412</v>
      </c>
      <c r="C421" s="1078">
        <v>2</v>
      </c>
      <c r="D421" s="1077" t="s">
        <v>5279</v>
      </c>
      <c r="E421" s="1077" t="s">
        <v>5632</v>
      </c>
      <c r="F421" s="1185">
        <v>4</v>
      </c>
      <c r="G421" s="1186">
        <v>4.13</v>
      </c>
      <c r="H421" s="1186">
        <v>2.5499999999999998</v>
      </c>
      <c r="I421" s="1186">
        <v>5.51</v>
      </c>
      <c r="J421" s="1186">
        <v>3.15</v>
      </c>
      <c r="K421" s="1186">
        <v>3.84</v>
      </c>
      <c r="L421" s="1186">
        <v>3.91</v>
      </c>
      <c r="M421" s="1186">
        <v>1.99</v>
      </c>
      <c r="N421" s="1186">
        <v>5.01</v>
      </c>
      <c r="O421" s="1186">
        <v>2.4500000000000002</v>
      </c>
      <c r="P421" s="1186">
        <v>8.9600000000000009</v>
      </c>
      <c r="Q421" s="1186">
        <v>4.84</v>
      </c>
      <c r="R421" s="1186">
        <v>2.2000000000000002</v>
      </c>
      <c r="S421" s="1186">
        <v>4.8099999999999996</v>
      </c>
      <c r="T421" s="1186">
        <v>3.28</v>
      </c>
      <c r="U421" s="1186">
        <v>2.19</v>
      </c>
      <c r="V421" s="1186">
        <v>3.99</v>
      </c>
      <c r="W421" s="1186"/>
      <c r="X421" s="1186"/>
      <c r="Y421" s="1186"/>
      <c r="Z421" s="1186"/>
      <c r="AA421" s="1186"/>
      <c r="AB421" s="1186"/>
      <c r="AC421" s="1186"/>
      <c r="AD421" s="1187"/>
    </row>
    <row r="422" spans="1:30" x14ac:dyDescent="0.2">
      <c r="A422">
        <f t="shared" si="40"/>
        <v>9</v>
      </c>
      <c r="B422">
        <v>413</v>
      </c>
      <c r="C422" s="1078">
        <v>2</v>
      </c>
      <c r="D422" s="1077" t="s">
        <v>5279</v>
      </c>
      <c r="E422" s="1077" t="s">
        <v>5633</v>
      </c>
      <c r="F422" s="1185">
        <v>4</v>
      </c>
      <c r="G422" s="1186">
        <v>6.23</v>
      </c>
      <c r="H422" s="1186">
        <v>2.27</v>
      </c>
      <c r="I422" s="1186">
        <v>7.11</v>
      </c>
      <c r="J422" s="1186">
        <v>2.54</v>
      </c>
      <c r="K422" s="1186">
        <v>3.84</v>
      </c>
      <c r="L422" s="1186">
        <v>3.91</v>
      </c>
      <c r="M422" s="1186">
        <v>1.99</v>
      </c>
      <c r="N422" s="1186">
        <v>5.01</v>
      </c>
      <c r="O422" s="1186">
        <v>2.4500000000000002</v>
      </c>
      <c r="P422" s="1186">
        <v>8.9600000000000009</v>
      </c>
      <c r="Q422" s="1186">
        <v>7.32</v>
      </c>
      <c r="R422" s="1186">
        <v>2.0299999999999998</v>
      </c>
      <c r="S422" s="1186">
        <v>4.8099999999999996</v>
      </c>
      <c r="T422" s="1186">
        <v>3.28</v>
      </c>
      <c r="U422" s="1186">
        <v>2.19</v>
      </c>
      <c r="V422" s="1186">
        <v>3.99</v>
      </c>
      <c r="W422" s="1186"/>
      <c r="X422" s="1186"/>
      <c r="Y422" s="1186"/>
      <c r="Z422" s="1186"/>
      <c r="AA422" s="1186"/>
      <c r="AB422" s="1186"/>
      <c r="AC422" s="1186"/>
      <c r="AD422" s="1187"/>
    </row>
    <row r="423" spans="1:30" x14ac:dyDescent="0.2">
      <c r="A423">
        <f t="shared" si="40"/>
        <v>9</v>
      </c>
      <c r="B423">
        <v>414</v>
      </c>
      <c r="C423" s="1078">
        <v>2</v>
      </c>
      <c r="D423" s="1077" t="s">
        <v>5279</v>
      </c>
      <c r="E423" s="1077" t="s">
        <v>5634</v>
      </c>
      <c r="F423" s="1185">
        <v>4</v>
      </c>
      <c r="G423" s="1186">
        <v>12.01</v>
      </c>
      <c r="H423" s="1186">
        <v>2</v>
      </c>
      <c r="I423" s="1186">
        <v>13.57</v>
      </c>
      <c r="J423" s="1186">
        <v>2.2400000000000002</v>
      </c>
      <c r="K423" s="1186">
        <v>7.77</v>
      </c>
      <c r="L423" s="1186">
        <v>3.77</v>
      </c>
      <c r="M423" s="1186">
        <v>4.6399999999999997</v>
      </c>
      <c r="N423" s="1186">
        <v>4.42</v>
      </c>
      <c r="O423" s="1186">
        <v>4.91</v>
      </c>
      <c r="P423" s="1186">
        <v>8.9499999999999993</v>
      </c>
      <c r="Q423" s="1186">
        <v>14.24</v>
      </c>
      <c r="R423" s="1186">
        <v>1.9</v>
      </c>
      <c r="S423" s="1186">
        <v>9.8000000000000007</v>
      </c>
      <c r="T423" s="1186">
        <v>3.27</v>
      </c>
      <c r="U423" s="1186">
        <v>4.5</v>
      </c>
      <c r="V423" s="1186">
        <v>4.54</v>
      </c>
      <c r="W423" s="1186"/>
      <c r="X423" s="1186"/>
      <c r="Y423" s="1186"/>
      <c r="Z423" s="1186"/>
      <c r="AA423" s="1186"/>
      <c r="AB423" s="1186"/>
      <c r="AC423" s="1186"/>
      <c r="AD423" s="1187"/>
    </row>
    <row r="424" spans="1:30" x14ac:dyDescent="0.2">
      <c r="A424">
        <f t="shared" si="40"/>
        <v>10</v>
      </c>
      <c r="B424">
        <v>415</v>
      </c>
      <c r="C424" s="1078">
        <v>2</v>
      </c>
      <c r="D424" s="1077" t="s">
        <v>5635</v>
      </c>
      <c r="E424" s="1077" t="s">
        <v>5636</v>
      </c>
      <c r="F424" s="1185">
        <v>4</v>
      </c>
      <c r="G424" s="1186">
        <v>12.87</v>
      </c>
      <c r="H424" s="1186">
        <v>2.5099999999999998</v>
      </c>
      <c r="I424" s="1186">
        <v>16.100000000000001</v>
      </c>
      <c r="J424" s="1186">
        <v>3.08</v>
      </c>
      <c r="K424" s="1186">
        <v>20.2</v>
      </c>
      <c r="L424" s="1186">
        <v>4.09</v>
      </c>
      <c r="M424" s="1186">
        <v>22</v>
      </c>
      <c r="N424" s="1186">
        <v>4.5199999999999996</v>
      </c>
      <c r="O424" s="1186">
        <v>25.24</v>
      </c>
      <c r="P424" s="1186">
        <v>6.7</v>
      </c>
      <c r="Q424" s="1186">
        <v>14.95</v>
      </c>
      <c r="R424" s="1186">
        <v>2.11</v>
      </c>
      <c r="S424" s="1186">
        <v>20.97</v>
      </c>
      <c r="T424" s="1186">
        <v>3.01</v>
      </c>
      <c r="U424" s="1186">
        <v>27.54</v>
      </c>
      <c r="V424" s="1186">
        <v>4.13</v>
      </c>
      <c r="W424" s="1186"/>
      <c r="X424" s="1186"/>
      <c r="Y424" s="1186"/>
      <c r="Z424" s="1186"/>
      <c r="AA424" s="1186"/>
      <c r="AB424" s="1186"/>
      <c r="AC424" s="1186"/>
      <c r="AD424" s="1187"/>
    </row>
    <row r="425" spans="1:30" x14ac:dyDescent="0.2">
      <c r="A425">
        <f t="shared" si="40"/>
        <v>10</v>
      </c>
      <c r="B425">
        <v>416</v>
      </c>
      <c r="C425" s="1078">
        <v>2</v>
      </c>
      <c r="D425" s="1077" t="s">
        <v>5635</v>
      </c>
      <c r="E425" s="1077" t="s">
        <v>5637</v>
      </c>
      <c r="F425" s="1185">
        <v>4</v>
      </c>
      <c r="G425" s="1186">
        <v>17.09</v>
      </c>
      <c r="H425" s="1186">
        <v>2.72</v>
      </c>
      <c r="I425" s="1186">
        <v>20.89</v>
      </c>
      <c r="J425" s="1186">
        <v>3.29</v>
      </c>
      <c r="K425" s="1186">
        <v>24.82</v>
      </c>
      <c r="L425" s="1186">
        <v>4.37</v>
      </c>
      <c r="M425" s="1186">
        <v>28.11</v>
      </c>
      <c r="N425" s="1186">
        <v>4.97</v>
      </c>
      <c r="O425" s="1186">
        <v>37.15</v>
      </c>
      <c r="P425" s="1186">
        <v>6.72</v>
      </c>
      <c r="Q425" s="1186">
        <v>20.03</v>
      </c>
      <c r="R425" s="1186">
        <v>2.23</v>
      </c>
      <c r="S425" s="1186">
        <v>26.59</v>
      </c>
      <c r="T425" s="1186">
        <v>3.34</v>
      </c>
      <c r="U425" s="1186">
        <v>34.85</v>
      </c>
      <c r="V425" s="1186">
        <v>4.42</v>
      </c>
      <c r="W425" s="1186"/>
      <c r="X425" s="1186"/>
      <c r="Y425" s="1186"/>
      <c r="Z425" s="1186"/>
      <c r="AA425" s="1186"/>
      <c r="AB425" s="1186"/>
      <c r="AC425" s="1186"/>
      <c r="AD425" s="1187"/>
    </row>
    <row r="426" spans="1:30" x14ac:dyDescent="0.2">
      <c r="A426">
        <f t="shared" si="40"/>
        <v>10</v>
      </c>
      <c r="B426">
        <v>417</v>
      </c>
      <c r="C426" s="1078">
        <v>2</v>
      </c>
      <c r="D426" s="1077" t="s">
        <v>5635</v>
      </c>
      <c r="E426" s="1077" t="s">
        <v>5638</v>
      </c>
      <c r="F426" s="1185">
        <v>4</v>
      </c>
      <c r="G426" s="1186">
        <v>20.56</v>
      </c>
      <c r="H426" s="1186">
        <v>2.61</v>
      </c>
      <c r="I426" s="1186">
        <v>25.6</v>
      </c>
      <c r="J426" s="1186">
        <v>3.19</v>
      </c>
      <c r="K426" s="1186">
        <v>30.65</v>
      </c>
      <c r="L426" s="1186">
        <v>4.28</v>
      </c>
      <c r="M426" s="1186">
        <v>35</v>
      </c>
      <c r="N426" s="1186">
        <v>4.92</v>
      </c>
      <c r="O426" s="1186">
        <v>46.64</v>
      </c>
      <c r="P426" s="1186">
        <v>6.92</v>
      </c>
      <c r="Q426" s="1186">
        <v>24.12</v>
      </c>
      <c r="R426" s="1186">
        <v>2.2200000000000002</v>
      </c>
      <c r="S426" s="1186">
        <v>33.619999999999997</v>
      </c>
      <c r="T426" s="1186">
        <v>3.3</v>
      </c>
      <c r="U426" s="1186">
        <v>43.43</v>
      </c>
      <c r="V426" s="1186">
        <v>4.3600000000000003</v>
      </c>
      <c r="W426" s="1186"/>
      <c r="X426" s="1186"/>
      <c r="Y426" s="1186"/>
      <c r="Z426" s="1186"/>
      <c r="AA426" s="1186"/>
      <c r="AB426" s="1186"/>
      <c r="AC426" s="1186"/>
      <c r="AD426" s="1187"/>
    </row>
    <row r="427" spans="1:30" x14ac:dyDescent="0.2">
      <c r="A427">
        <f t="shared" si="40"/>
        <v>10</v>
      </c>
      <c r="B427">
        <v>418</v>
      </c>
      <c r="C427" s="1078">
        <v>2</v>
      </c>
      <c r="D427" s="1077" t="s">
        <v>5635</v>
      </c>
      <c r="E427" s="1077" t="s">
        <v>5639</v>
      </c>
      <c r="F427" s="1185">
        <v>4</v>
      </c>
      <c r="G427" s="1186">
        <v>23.72</v>
      </c>
      <c r="H427" s="1186">
        <v>2.52</v>
      </c>
      <c r="I427" s="1186">
        <v>29.34</v>
      </c>
      <c r="J427" s="1186">
        <v>3.04</v>
      </c>
      <c r="K427" s="1186">
        <v>35.35</v>
      </c>
      <c r="L427" s="1186">
        <v>4.07</v>
      </c>
      <c r="M427" s="1186">
        <v>40</v>
      </c>
      <c r="N427" s="1186">
        <v>4.72</v>
      </c>
      <c r="O427" s="1186">
        <v>53.67</v>
      </c>
      <c r="P427" s="1186">
        <v>6.61</v>
      </c>
      <c r="Q427" s="1186">
        <v>28.04</v>
      </c>
      <c r="R427" s="1186">
        <v>2.23</v>
      </c>
      <c r="S427" s="1186">
        <v>37.5</v>
      </c>
      <c r="T427" s="1186">
        <v>3.12</v>
      </c>
      <c r="U427" s="1186">
        <v>49.86</v>
      </c>
      <c r="V427" s="1186">
        <v>4.09</v>
      </c>
      <c r="W427" s="1186"/>
      <c r="X427" s="1186"/>
      <c r="Y427" s="1186"/>
      <c r="Z427" s="1186"/>
      <c r="AA427" s="1186"/>
      <c r="AB427" s="1186"/>
      <c r="AC427" s="1186"/>
      <c r="AD427" s="1187"/>
    </row>
    <row r="428" spans="1:30" x14ac:dyDescent="0.2">
      <c r="A428">
        <f t="shared" si="40"/>
        <v>11</v>
      </c>
      <c r="B428">
        <v>419</v>
      </c>
      <c r="C428" s="1078">
        <v>2</v>
      </c>
      <c r="D428" s="1077" t="s">
        <v>3600</v>
      </c>
      <c r="E428" s="1077" t="s">
        <v>4052</v>
      </c>
      <c r="F428" s="1185"/>
      <c r="G428" s="1186"/>
      <c r="H428" s="1186"/>
      <c r="I428" s="1186">
        <v>5.4</v>
      </c>
      <c r="J428" s="1186">
        <v>2.9</v>
      </c>
      <c r="K428" s="1186">
        <v>4.7</v>
      </c>
      <c r="L428" s="1186">
        <v>3.8</v>
      </c>
      <c r="M428" s="1186">
        <v>6.1</v>
      </c>
      <c r="N428" s="1186">
        <v>4.8</v>
      </c>
      <c r="O428" s="1186"/>
      <c r="P428" s="1186"/>
      <c r="Q428" s="1186">
        <v>2.8</v>
      </c>
      <c r="R428" s="1186">
        <v>1.3</v>
      </c>
      <c r="S428" s="1186">
        <v>5.4</v>
      </c>
      <c r="T428" s="1186">
        <v>3</v>
      </c>
      <c r="U428" s="1186"/>
      <c r="V428" s="1186"/>
      <c r="W428" s="1186"/>
      <c r="X428" s="1186"/>
      <c r="Y428" s="1186"/>
      <c r="Z428" s="1186"/>
      <c r="AA428" s="1186"/>
      <c r="AB428" s="1186"/>
      <c r="AC428" s="1186"/>
      <c r="AD428" s="1187"/>
    </row>
    <row r="429" spans="1:30" x14ac:dyDescent="0.2">
      <c r="A429">
        <f t="shared" si="40"/>
        <v>11</v>
      </c>
      <c r="B429">
        <v>420</v>
      </c>
      <c r="C429" s="1078">
        <v>2</v>
      </c>
      <c r="D429" s="1077" t="s">
        <v>3600</v>
      </c>
      <c r="E429" s="1077" t="s">
        <v>4053</v>
      </c>
      <c r="F429" s="1185"/>
      <c r="G429" s="1186"/>
      <c r="H429" s="1186"/>
      <c r="I429" s="1186">
        <v>5.4</v>
      </c>
      <c r="J429" s="1186">
        <v>2.9</v>
      </c>
      <c r="K429" s="1186">
        <v>4.7</v>
      </c>
      <c r="L429" s="1186">
        <v>3.8</v>
      </c>
      <c r="M429" s="1186">
        <v>6.1</v>
      </c>
      <c r="N429" s="1186">
        <v>4.8</v>
      </c>
      <c r="O429" s="1186"/>
      <c r="P429" s="1186"/>
      <c r="Q429" s="1186">
        <v>2.8</v>
      </c>
      <c r="R429" s="1186">
        <v>1.3</v>
      </c>
      <c r="S429" s="1186">
        <v>5.4</v>
      </c>
      <c r="T429" s="1186">
        <v>3</v>
      </c>
      <c r="U429" s="1186"/>
      <c r="V429" s="1186"/>
      <c r="W429" s="1186"/>
      <c r="X429" s="1186"/>
      <c r="Y429" s="1186"/>
      <c r="Z429" s="1186"/>
      <c r="AA429" s="1186"/>
      <c r="AB429" s="1186"/>
      <c r="AC429" s="1186"/>
      <c r="AD429" s="1187"/>
    </row>
    <row r="430" spans="1:30" x14ac:dyDescent="0.2">
      <c r="A430">
        <f t="shared" si="40"/>
        <v>11</v>
      </c>
      <c r="B430">
        <v>421</v>
      </c>
      <c r="C430" s="1078">
        <v>2</v>
      </c>
      <c r="D430" s="1077" t="s">
        <v>3600</v>
      </c>
      <c r="E430" s="1077" t="s">
        <v>4054</v>
      </c>
      <c r="F430" s="1185"/>
      <c r="G430" s="1186"/>
      <c r="H430" s="1186"/>
      <c r="I430" s="1186">
        <v>5.4</v>
      </c>
      <c r="J430" s="1186">
        <v>2.9</v>
      </c>
      <c r="K430" s="1186">
        <v>4.7</v>
      </c>
      <c r="L430" s="1186">
        <v>3.8</v>
      </c>
      <c r="M430" s="1186">
        <v>6.1</v>
      </c>
      <c r="N430" s="1186">
        <v>4.8</v>
      </c>
      <c r="O430" s="1186"/>
      <c r="P430" s="1186"/>
      <c r="Q430" s="1186">
        <v>2.8</v>
      </c>
      <c r="R430" s="1186">
        <v>1.3</v>
      </c>
      <c r="S430" s="1186">
        <v>5.4</v>
      </c>
      <c r="T430" s="1186">
        <v>3</v>
      </c>
      <c r="U430" s="1186"/>
      <c r="V430" s="1186"/>
      <c r="W430" s="1186"/>
      <c r="X430" s="1186"/>
      <c r="Y430" s="1186"/>
      <c r="Z430" s="1186"/>
      <c r="AA430" s="1186"/>
      <c r="AB430" s="1186"/>
      <c r="AC430" s="1186"/>
      <c r="AD430" s="1187"/>
    </row>
    <row r="431" spans="1:30" x14ac:dyDescent="0.2">
      <c r="A431">
        <f t="shared" si="40"/>
        <v>11</v>
      </c>
      <c r="B431">
        <v>422</v>
      </c>
      <c r="C431" s="1078">
        <v>2</v>
      </c>
      <c r="D431" s="1077" t="s">
        <v>3600</v>
      </c>
      <c r="E431" s="1077" t="s">
        <v>4055</v>
      </c>
      <c r="F431" s="1185"/>
      <c r="G431" s="1186"/>
      <c r="H431" s="1186"/>
      <c r="I431" s="1186">
        <v>5.4</v>
      </c>
      <c r="J431" s="1186">
        <v>2.9</v>
      </c>
      <c r="K431" s="1186">
        <v>4.7</v>
      </c>
      <c r="L431" s="1186">
        <v>3.8</v>
      </c>
      <c r="M431" s="1186">
        <v>6.1</v>
      </c>
      <c r="N431" s="1186">
        <v>4.8</v>
      </c>
      <c r="O431" s="1186"/>
      <c r="P431" s="1186"/>
      <c r="Q431" s="1186">
        <v>2.8</v>
      </c>
      <c r="R431" s="1186">
        <v>1.3</v>
      </c>
      <c r="S431" s="1186">
        <v>5.4</v>
      </c>
      <c r="T431" s="1186">
        <v>3</v>
      </c>
      <c r="U431" s="1186"/>
      <c r="V431" s="1186"/>
      <c r="W431" s="1186"/>
      <c r="X431" s="1186"/>
      <c r="Y431" s="1186"/>
      <c r="Z431" s="1186"/>
      <c r="AA431" s="1186"/>
      <c r="AB431" s="1186"/>
      <c r="AC431" s="1186"/>
      <c r="AD431" s="1187"/>
    </row>
    <row r="432" spans="1:30" x14ac:dyDescent="0.2">
      <c r="A432">
        <f t="shared" si="40"/>
        <v>11</v>
      </c>
      <c r="B432">
        <v>423</v>
      </c>
      <c r="C432" s="1078">
        <v>2</v>
      </c>
      <c r="D432" s="1077" t="s">
        <v>3600</v>
      </c>
      <c r="E432" s="1077" t="s">
        <v>4056</v>
      </c>
      <c r="F432" s="1185"/>
      <c r="G432" s="1186"/>
      <c r="H432" s="1186"/>
      <c r="I432" s="1186">
        <v>5.5</v>
      </c>
      <c r="J432" s="1186">
        <v>2.7</v>
      </c>
      <c r="K432" s="1186">
        <v>5.8</v>
      </c>
      <c r="L432" s="1186">
        <v>3.5</v>
      </c>
      <c r="M432" s="1186">
        <v>7.4</v>
      </c>
      <c r="N432" s="1186">
        <v>4.5</v>
      </c>
      <c r="O432" s="1186"/>
      <c r="P432" s="1186"/>
      <c r="Q432" s="1186">
        <v>5.5</v>
      </c>
      <c r="R432" s="1186">
        <v>1.7</v>
      </c>
      <c r="S432" s="1186">
        <v>8.5</v>
      </c>
      <c r="T432" s="1186">
        <v>2.7</v>
      </c>
      <c r="U432" s="1186"/>
      <c r="V432" s="1186"/>
      <c r="W432" s="1186"/>
      <c r="X432" s="1186"/>
      <c r="Y432" s="1186"/>
      <c r="Z432" s="1186"/>
      <c r="AA432" s="1186"/>
      <c r="AB432" s="1186"/>
      <c r="AC432" s="1186"/>
      <c r="AD432" s="1187"/>
    </row>
    <row r="433" spans="1:30" x14ac:dyDescent="0.2">
      <c r="A433">
        <f t="shared" si="40"/>
        <v>11</v>
      </c>
      <c r="B433">
        <v>424</v>
      </c>
      <c r="C433" s="1078">
        <v>2</v>
      </c>
      <c r="D433" s="1077" t="s">
        <v>3600</v>
      </c>
      <c r="E433" s="1077" t="s">
        <v>4057</v>
      </c>
      <c r="F433" s="1185"/>
      <c r="G433" s="1186"/>
      <c r="H433" s="1186"/>
      <c r="I433" s="1186">
        <v>5.5</v>
      </c>
      <c r="J433" s="1186">
        <v>2.7</v>
      </c>
      <c r="K433" s="1186">
        <v>5.8</v>
      </c>
      <c r="L433" s="1186">
        <v>3.5</v>
      </c>
      <c r="M433" s="1186">
        <v>7.4</v>
      </c>
      <c r="N433" s="1186">
        <v>4.5</v>
      </c>
      <c r="O433" s="1186"/>
      <c r="P433" s="1186"/>
      <c r="Q433" s="1186">
        <v>5.5</v>
      </c>
      <c r="R433" s="1186">
        <v>1.7</v>
      </c>
      <c r="S433" s="1186">
        <v>8.5</v>
      </c>
      <c r="T433" s="1186">
        <v>2.7</v>
      </c>
      <c r="U433" s="1186"/>
      <c r="V433" s="1186"/>
      <c r="W433" s="1186"/>
      <c r="X433" s="1186"/>
      <c r="Y433" s="1186"/>
      <c r="Z433" s="1186"/>
      <c r="AA433" s="1186"/>
      <c r="AB433" s="1186"/>
      <c r="AC433" s="1186"/>
      <c r="AD433" s="1187"/>
    </row>
    <row r="434" spans="1:30" x14ac:dyDescent="0.2">
      <c r="A434">
        <f t="shared" si="40"/>
        <v>11</v>
      </c>
      <c r="B434">
        <v>425</v>
      </c>
      <c r="C434" s="1078">
        <v>2</v>
      </c>
      <c r="D434" s="1077" t="s">
        <v>3600</v>
      </c>
      <c r="E434" s="1077" t="s">
        <v>4058</v>
      </c>
      <c r="F434" s="1185"/>
      <c r="G434" s="1186"/>
      <c r="H434" s="1186"/>
      <c r="I434" s="1186">
        <v>5.5</v>
      </c>
      <c r="J434" s="1186">
        <v>2.7</v>
      </c>
      <c r="K434" s="1186">
        <v>5.8</v>
      </c>
      <c r="L434" s="1186">
        <v>3.5</v>
      </c>
      <c r="M434" s="1186">
        <v>7.4</v>
      </c>
      <c r="N434" s="1186">
        <v>4.5</v>
      </c>
      <c r="O434" s="1186"/>
      <c r="P434" s="1186"/>
      <c r="Q434" s="1186">
        <v>5.5</v>
      </c>
      <c r="R434" s="1186">
        <v>1.7</v>
      </c>
      <c r="S434" s="1186">
        <v>8.5</v>
      </c>
      <c r="T434" s="1186">
        <v>2.7</v>
      </c>
      <c r="U434" s="1186"/>
      <c r="V434" s="1186"/>
      <c r="W434" s="1186"/>
      <c r="X434" s="1186"/>
      <c r="Y434" s="1186"/>
      <c r="Z434" s="1186"/>
      <c r="AA434" s="1186"/>
      <c r="AB434" s="1186"/>
      <c r="AC434" s="1186"/>
      <c r="AD434" s="1187"/>
    </row>
    <row r="435" spans="1:30" x14ac:dyDescent="0.2">
      <c r="A435">
        <f t="shared" si="40"/>
        <v>11</v>
      </c>
      <c r="B435">
        <v>426</v>
      </c>
      <c r="C435" s="1078">
        <v>2</v>
      </c>
      <c r="D435" s="1077" t="s">
        <v>3600</v>
      </c>
      <c r="E435" s="1077" t="s">
        <v>4059</v>
      </c>
      <c r="F435" s="1185"/>
      <c r="G435" s="1186"/>
      <c r="H435" s="1186"/>
      <c r="I435" s="1186">
        <v>5.5</v>
      </c>
      <c r="J435" s="1186">
        <v>2.7</v>
      </c>
      <c r="K435" s="1186">
        <v>5.8</v>
      </c>
      <c r="L435" s="1186">
        <v>3.5</v>
      </c>
      <c r="M435" s="1186">
        <v>7.4</v>
      </c>
      <c r="N435" s="1186">
        <v>4.5</v>
      </c>
      <c r="O435" s="1186"/>
      <c r="P435" s="1186"/>
      <c r="Q435" s="1186">
        <v>5.5</v>
      </c>
      <c r="R435" s="1186">
        <v>1.7</v>
      </c>
      <c r="S435" s="1186">
        <v>8.5</v>
      </c>
      <c r="T435" s="1186">
        <v>2.7</v>
      </c>
      <c r="U435" s="1186"/>
      <c r="V435" s="1186"/>
      <c r="W435" s="1186"/>
      <c r="X435" s="1186"/>
      <c r="Y435" s="1186"/>
      <c r="Z435" s="1186"/>
      <c r="AA435" s="1186"/>
      <c r="AB435" s="1186"/>
      <c r="AC435" s="1186"/>
      <c r="AD435" s="1187"/>
    </row>
    <row r="436" spans="1:30" x14ac:dyDescent="0.2">
      <c r="A436">
        <f t="shared" si="40"/>
        <v>11</v>
      </c>
      <c r="B436">
        <v>427</v>
      </c>
      <c r="C436" s="1081">
        <v>2</v>
      </c>
      <c r="D436" s="1077" t="s">
        <v>3600</v>
      </c>
      <c r="E436" s="1082" t="s">
        <v>4060</v>
      </c>
      <c r="F436" s="1188"/>
      <c r="G436" s="1189"/>
      <c r="H436" s="1189"/>
      <c r="I436" s="1189">
        <v>8.6</v>
      </c>
      <c r="J436" s="1189">
        <v>2.8</v>
      </c>
      <c r="K436" s="1189">
        <v>8.6</v>
      </c>
      <c r="L436" s="1189">
        <v>3.6</v>
      </c>
      <c r="M436" s="1189">
        <v>11.2</v>
      </c>
      <c r="N436" s="1189">
        <v>4.5999999999999996</v>
      </c>
      <c r="O436" s="1189"/>
      <c r="P436" s="1189"/>
      <c r="Q436" s="1189">
        <v>7.8</v>
      </c>
      <c r="R436" s="1189">
        <v>1.7</v>
      </c>
      <c r="S436" s="1189">
        <v>10</v>
      </c>
      <c r="T436" s="1189">
        <v>2.5</v>
      </c>
      <c r="U436" s="1189"/>
      <c r="V436" s="1189"/>
      <c r="W436" s="1189"/>
      <c r="X436" s="1189"/>
      <c r="Y436" s="1189"/>
      <c r="Z436" s="1189"/>
      <c r="AA436" s="1189"/>
      <c r="AB436" s="1189"/>
      <c r="AC436" s="1189"/>
      <c r="AD436" s="1194"/>
    </row>
    <row r="437" spans="1:30" x14ac:dyDescent="0.2">
      <c r="A437">
        <f t="shared" si="40"/>
        <v>11</v>
      </c>
      <c r="B437">
        <v>428</v>
      </c>
      <c r="C437" s="1190">
        <v>2</v>
      </c>
      <c r="D437" s="1077" t="s">
        <v>3600</v>
      </c>
      <c r="E437" s="1191" t="s">
        <v>4061</v>
      </c>
      <c r="F437" s="1192"/>
      <c r="G437" s="1193"/>
      <c r="H437" s="1193"/>
      <c r="I437" s="1193">
        <v>8.6</v>
      </c>
      <c r="J437" s="1193">
        <v>2.8</v>
      </c>
      <c r="K437" s="1193">
        <v>8.6</v>
      </c>
      <c r="L437" s="1193">
        <v>3.6</v>
      </c>
      <c r="M437" s="1193">
        <v>11.2</v>
      </c>
      <c r="N437" s="1193">
        <v>4.5999999999999996</v>
      </c>
      <c r="O437" s="1193"/>
      <c r="P437" s="1193"/>
      <c r="Q437" s="1193">
        <v>7.8</v>
      </c>
      <c r="R437" s="1193">
        <v>1.7</v>
      </c>
      <c r="S437" s="1193">
        <v>10</v>
      </c>
      <c r="T437" s="1193">
        <v>2.5</v>
      </c>
      <c r="U437" s="1193"/>
      <c r="V437" s="1193"/>
      <c r="W437" s="1193"/>
      <c r="X437" s="1193"/>
      <c r="Y437" s="1193"/>
      <c r="Z437" s="1193"/>
      <c r="AA437" s="1193"/>
      <c r="AB437" s="1193"/>
      <c r="AC437" s="1193"/>
      <c r="AD437" s="1195"/>
    </row>
    <row r="438" spans="1:30" x14ac:dyDescent="0.2">
      <c r="A438">
        <f t="shared" si="40"/>
        <v>11</v>
      </c>
      <c r="B438">
        <v>429</v>
      </c>
      <c r="C438" s="1190">
        <v>2</v>
      </c>
      <c r="D438" s="1077" t="s">
        <v>3600</v>
      </c>
      <c r="E438" s="1077" t="s">
        <v>4062</v>
      </c>
      <c r="F438" s="1185"/>
      <c r="G438" s="1186"/>
      <c r="H438" s="1186"/>
      <c r="I438" s="1186">
        <v>8.6</v>
      </c>
      <c r="J438" s="1186">
        <v>2.8</v>
      </c>
      <c r="K438" s="1186">
        <v>8.6</v>
      </c>
      <c r="L438" s="1186">
        <v>3.6</v>
      </c>
      <c r="M438" s="1186">
        <v>11.2</v>
      </c>
      <c r="N438" s="1186">
        <v>4.5999999999999996</v>
      </c>
      <c r="O438" s="1186"/>
      <c r="P438" s="1186"/>
      <c r="Q438" s="1186">
        <v>7.8</v>
      </c>
      <c r="R438" s="1186">
        <v>1.7</v>
      </c>
      <c r="S438" s="1186">
        <v>10</v>
      </c>
      <c r="T438" s="1186">
        <v>2.5</v>
      </c>
      <c r="U438" s="1186"/>
      <c r="V438" s="1186"/>
      <c r="W438" s="1186"/>
      <c r="X438" s="1186"/>
      <c r="Y438" s="1186"/>
      <c r="Z438" s="1186"/>
      <c r="AA438" s="1186"/>
      <c r="AB438" s="1186"/>
      <c r="AC438" s="1186"/>
      <c r="AD438" s="1187"/>
    </row>
    <row r="439" spans="1:30" x14ac:dyDescent="0.2">
      <c r="A439">
        <f t="shared" si="40"/>
        <v>11</v>
      </c>
      <c r="B439">
        <v>430</v>
      </c>
      <c r="C439" s="1190">
        <v>2</v>
      </c>
      <c r="D439" s="1077" t="s">
        <v>3600</v>
      </c>
      <c r="E439" s="1077" t="s">
        <v>4063</v>
      </c>
      <c r="F439" s="1185"/>
      <c r="G439" s="1186"/>
      <c r="H439" s="1186"/>
      <c r="I439" s="1186">
        <v>10</v>
      </c>
      <c r="J439" s="1186">
        <v>2.7</v>
      </c>
      <c r="K439" s="1186">
        <v>10.3</v>
      </c>
      <c r="L439" s="1186">
        <v>3.4</v>
      </c>
      <c r="M439" s="1186">
        <v>14.5</v>
      </c>
      <c r="N439" s="1186">
        <v>4.3</v>
      </c>
      <c r="O439" s="1186"/>
      <c r="P439" s="1186"/>
      <c r="Q439" s="1186">
        <v>8.9</v>
      </c>
      <c r="R439" s="1186">
        <v>1.7</v>
      </c>
      <c r="S439" s="1186">
        <v>12.7</v>
      </c>
      <c r="T439" s="1186">
        <v>3.1</v>
      </c>
      <c r="U439" s="1186"/>
      <c r="V439" s="1186"/>
      <c r="W439" s="1186"/>
      <c r="X439" s="1186"/>
      <c r="Y439" s="1186"/>
      <c r="Z439" s="1186"/>
      <c r="AA439" s="1186"/>
      <c r="AB439" s="1186"/>
      <c r="AC439" s="1186"/>
      <c r="AD439" s="1187"/>
    </row>
    <row r="440" spans="1:30" x14ac:dyDescent="0.2">
      <c r="A440">
        <f t="shared" si="40"/>
        <v>11</v>
      </c>
      <c r="B440">
        <v>431</v>
      </c>
      <c r="C440" s="1078">
        <v>2</v>
      </c>
      <c r="D440" s="1077" t="s">
        <v>3600</v>
      </c>
      <c r="E440" s="1077" t="s">
        <v>4064</v>
      </c>
      <c r="F440" s="1185"/>
      <c r="G440" s="1186"/>
      <c r="H440" s="1186"/>
      <c r="I440" s="1186">
        <v>10</v>
      </c>
      <c r="J440" s="1186">
        <v>2.7</v>
      </c>
      <c r="K440" s="1186">
        <v>10.3</v>
      </c>
      <c r="L440" s="1186">
        <v>3.4</v>
      </c>
      <c r="M440" s="1186">
        <v>14.5</v>
      </c>
      <c r="N440" s="1186">
        <v>4.3</v>
      </c>
      <c r="O440" s="1186"/>
      <c r="P440" s="1186"/>
      <c r="Q440" s="1186">
        <v>8.9</v>
      </c>
      <c r="R440" s="1186">
        <v>1.7</v>
      </c>
      <c r="S440" s="1186">
        <v>12.7</v>
      </c>
      <c r="T440" s="1186">
        <v>3.1</v>
      </c>
      <c r="U440" s="1186"/>
      <c r="V440" s="1186"/>
      <c r="W440" s="1186"/>
      <c r="X440" s="1186"/>
      <c r="Y440" s="1186"/>
      <c r="Z440" s="1186"/>
      <c r="AA440" s="1186"/>
      <c r="AB440" s="1186"/>
      <c r="AC440" s="1186"/>
      <c r="AD440" s="1187"/>
    </row>
    <row r="441" spans="1:30" x14ac:dyDescent="0.2">
      <c r="A441">
        <f t="shared" si="40"/>
        <v>11</v>
      </c>
      <c r="B441">
        <v>432</v>
      </c>
      <c r="C441" s="1078">
        <v>2</v>
      </c>
      <c r="D441" s="1077" t="s">
        <v>3600</v>
      </c>
      <c r="E441" s="1077" t="s">
        <v>4065</v>
      </c>
      <c r="F441" s="1185"/>
      <c r="G441" s="1186"/>
      <c r="H441" s="1186"/>
      <c r="I441" s="1186">
        <v>10</v>
      </c>
      <c r="J441" s="1186">
        <v>2.7</v>
      </c>
      <c r="K441" s="1186">
        <v>10.3</v>
      </c>
      <c r="L441" s="1186">
        <v>3.4</v>
      </c>
      <c r="M441" s="1186">
        <v>14.5</v>
      </c>
      <c r="N441" s="1186">
        <v>4.3</v>
      </c>
      <c r="O441" s="1186"/>
      <c r="P441" s="1186"/>
      <c r="Q441" s="1186">
        <v>8.9</v>
      </c>
      <c r="R441" s="1186">
        <v>1.7</v>
      </c>
      <c r="S441" s="1186">
        <v>12.7</v>
      </c>
      <c r="T441" s="1186">
        <v>3.1</v>
      </c>
      <c r="U441" s="1186"/>
      <c r="V441" s="1186"/>
      <c r="W441" s="1186"/>
      <c r="X441" s="1186"/>
      <c r="Y441" s="1186"/>
      <c r="Z441" s="1186"/>
      <c r="AA441" s="1186"/>
      <c r="AB441" s="1186"/>
      <c r="AC441" s="1186"/>
      <c r="AD441" s="1187"/>
    </row>
    <row r="442" spans="1:30" x14ac:dyDescent="0.2">
      <c r="A442">
        <f t="shared" si="40"/>
        <v>11</v>
      </c>
      <c r="B442">
        <v>433</v>
      </c>
      <c r="C442" s="1078">
        <v>2</v>
      </c>
      <c r="D442" s="1077" t="s">
        <v>3600</v>
      </c>
      <c r="E442" s="1077" t="s">
        <v>4066</v>
      </c>
      <c r="F442" s="1185"/>
      <c r="G442" s="1186"/>
      <c r="H442" s="1186"/>
      <c r="I442" s="1186">
        <v>10</v>
      </c>
      <c r="J442" s="1186">
        <v>2.7</v>
      </c>
      <c r="K442" s="1186">
        <v>10.3</v>
      </c>
      <c r="L442" s="1186">
        <v>3.4</v>
      </c>
      <c r="M442" s="1186">
        <v>14.5</v>
      </c>
      <c r="N442" s="1186">
        <v>4.3</v>
      </c>
      <c r="O442" s="1186"/>
      <c r="P442" s="1186"/>
      <c r="Q442" s="1186">
        <v>8.9</v>
      </c>
      <c r="R442" s="1186">
        <v>1.7</v>
      </c>
      <c r="S442" s="1186">
        <v>12.7</v>
      </c>
      <c r="T442" s="1186">
        <v>3.1</v>
      </c>
      <c r="U442" s="1186"/>
      <c r="V442" s="1186"/>
      <c r="W442" s="1186"/>
      <c r="X442" s="1186"/>
      <c r="Y442" s="1186"/>
      <c r="Z442" s="1186"/>
      <c r="AA442" s="1186"/>
      <c r="AB442" s="1186"/>
      <c r="AC442" s="1186"/>
      <c r="AD442" s="1187"/>
    </row>
    <row r="443" spans="1:30" x14ac:dyDescent="0.2">
      <c r="A443">
        <f t="shared" si="40"/>
        <v>11</v>
      </c>
      <c r="B443">
        <v>434</v>
      </c>
      <c r="C443" s="1078">
        <v>2</v>
      </c>
      <c r="D443" s="1077" t="s">
        <v>3600</v>
      </c>
      <c r="E443" s="1077" t="s">
        <v>4067</v>
      </c>
      <c r="F443" s="1185"/>
      <c r="G443" s="1186"/>
      <c r="H443" s="1186"/>
      <c r="I443" s="1186">
        <v>12.1</v>
      </c>
      <c r="J443" s="1186">
        <v>2.6</v>
      </c>
      <c r="K443" s="1186">
        <v>11.7</v>
      </c>
      <c r="L443" s="1186">
        <v>3.4</v>
      </c>
      <c r="M443" s="1186">
        <v>16.600000000000001</v>
      </c>
      <c r="N443" s="1186">
        <v>4.3</v>
      </c>
      <c r="O443" s="1186"/>
      <c r="P443" s="1186"/>
      <c r="Q443" s="1186">
        <v>12.7</v>
      </c>
      <c r="R443" s="1186">
        <v>1.9</v>
      </c>
      <c r="S443" s="1186">
        <v>15</v>
      </c>
      <c r="T443" s="1186">
        <v>2.8</v>
      </c>
      <c r="U443" s="1186"/>
      <c r="V443" s="1186"/>
      <c r="W443" s="1186"/>
      <c r="X443" s="1186"/>
      <c r="Y443" s="1186"/>
      <c r="Z443" s="1186"/>
      <c r="AA443" s="1186"/>
      <c r="AB443" s="1186"/>
      <c r="AC443" s="1186"/>
      <c r="AD443" s="1187"/>
    </row>
    <row r="444" spans="1:30" x14ac:dyDescent="0.2">
      <c r="A444">
        <f t="shared" si="40"/>
        <v>11</v>
      </c>
      <c r="B444">
        <v>435</v>
      </c>
      <c r="C444" s="1078">
        <v>2</v>
      </c>
      <c r="D444" s="1077" t="s">
        <v>3600</v>
      </c>
      <c r="E444" s="1077" t="s">
        <v>4068</v>
      </c>
      <c r="F444" s="1185"/>
      <c r="G444" s="1186"/>
      <c r="H444" s="1186"/>
      <c r="I444" s="1186">
        <v>12.1</v>
      </c>
      <c r="J444" s="1186">
        <v>2.6</v>
      </c>
      <c r="K444" s="1186">
        <v>11.7</v>
      </c>
      <c r="L444" s="1186">
        <v>3.4</v>
      </c>
      <c r="M444" s="1186">
        <v>16.600000000000001</v>
      </c>
      <c r="N444" s="1186">
        <v>4.3</v>
      </c>
      <c r="O444" s="1186"/>
      <c r="P444" s="1186"/>
      <c r="Q444" s="1186">
        <v>12.7</v>
      </c>
      <c r="R444" s="1186">
        <v>1.9</v>
      </c>
      <c r="S444" s="1186">
        <v>15</v>
      </c>
      <c r="T444" s="1186">
        <v>2.8</v>
      </c>
      <c r="U444" s="1186"/>
      <c r="V444" s="1186"/>
      <c r="W444" s="1186"/>
      <c r="X444" s="1186"/>
      <c r="Y444" s="1186"/>
      <c r="Z444" s="1186"/>
      <c r="AA444" s="1186"/>
      <c r="AB444" s="1186"/>
      <c r="AC444" s="1186"/>
      <c r="AD444" s="1187"/>
    </row>
    <row r="445" spans="1:30" x14ac:dyDescent="0.2">
      <c r="A445">
        <f t="shared" si="40"/>
        <v>11</v>
      </c>
      <c r="B445">
        <v>436</v>
      </c>
      <c r="C445" s="1078">
        <v>2</v>
      </c>
      <c r="D445" s="1077" t="s">
        <v>3600</v>
      </c>
      <c r="E445" s="1077" t="s">
        <v>4069</v>
      </c>
      <c r="F445" s="1185"/>
      <c r="G445" s="1186"/>
      <c r="H445" s="1186"/>
      <c r="I445" s="1186">
        <v>12.1</v>
      </c>
      <c r="J445" s="1186">
        <v>2.6</v>
      </c>
      <c r="K445" s="1186">
        <v>11.7</v>
      </c>
      <c r="L445" s="1186">
        <v>3.4</v>
      </c>
      <c r="M445" s="1186">
        <v>16.600000000000001</v>
      </c>
      <c r="N445" s="1186">
        <v>4.3</v>
      </c>
      <c r="O445" s="1186"/>
      <c r="P445" s="1186"/>
      <c r="Q445" s="1186">
        <v>12.7</v>
      </c>
      <c r="R445" s="1186">
        <v>1.9</v>
      </c>
      <c r="S445" s="1186">
        <v>15</v>
      </c>
      <c r="T445" s="1186">
        <v>2.8</v>
      </c>
      <c r="U445" s="1186"/>
      <c r="V445" s="1186"/>
      <c r="W445" s="1186"/>
      <c r="X445" s="1186"/>
      <c r="Y445" s="1186"/>
      <c r="Z445" s="1186"/>
      <c r="AA445" s="1186"/>
      <c r="AB445" s="1186"/>
      <c r="AC445" s="1186"/>
      <c r="AD445" s="1187"/>
    </row>
    <row r="446" spans="1:30" x14ac:dyDescent="0.2">
      <c r="A446">
        <f t="shared" si="40"/>
        <v>11</v>
      </c>
      <c r="B446">
        <v>437</v>
      </c>
      <c r="C446" s="1078">
        <v>2</v>
      </c>
      <c r="D446" s="1077" t="s">
        <v>3600</v>
      </c>
      <c r="E446" s="1077" t="s">
        <v>4070</v>
      </c>
      <c r="F446" s="1185"/>
      <c r="G446" s="1186"/>
      <c r="H446" s="1186"/>
      <c r="I446" s="1186">
        <v>12.1</v>
      </c>
      <c r="J446" s="1186">
        <v>2.6</v>
      </c>
      <c r="K446" s="1186">
        <v>11.7</v>
      </c>
      <c r="L446" s="1186">
        <v>3.4</v>
      </c>
      <c r="M446" s="1186">
        <v>16.600000000000001</v>
      </c>
      <c r="N446" s="1186">
        <v>4.3</v>
      </c>
      <c r="O446" s="1186"/>
      <c r="P446" s="1186"/>
      <c r="Q446" s="1186">
        <v>12.7</v>
      </c>
      <c r="R446" s="1186">
        <v>1.9</v>
      </c>
      <c r="S446" s="1186">
        <v>15</v>
      </c>
      <c r="T446" s="1186">
        <v>2.8</v>
      </c>
      <c r="U446" s="1186"/>
      <c r="V446" s="1186"/>
      <c r="W446" s="1186"/>
      <c r="X446" s="1186"/>
      <c r="Y446" s="1186"/>
      <c r="Z446" s="1186"/>
      <c r="AA446" s="1186"/>
      <c r="AB446" s="1186"/>
      <c r="AC446" s="1186"/>
      <c r="AD446" s="1187"/>
    </row>
    <row r="447" spans="1:30" x14ac:dyDescent="0.2">
      <c r="A447">
        <f t="shared" si="40"/>
        <v>12</v>
      </c>
      <c r="B447">
        <v>438</v>
      </c>
      <c r="C447" s="1078">
        <v>2</v>
      </c>
      <c r="D447" s="1077" t="s">
        <v>3978</v>
      </c>
      <c r="E447" s="1077" t="s">
        <v>4071</v>
      </c>
      <c r="F447" s="1185"/>
      <c r="G447" s="1186"/>
      <c r="H447" s="1186"/>
      <c r="I447" s="1186">
        <v>4.3</v>
      </c>
      <c r="J447" s="1186">
        <v>2.9</v>
      </c>
      <c r="K447" s="1186">
        <v>3.5</v>
      </c>
      <c r="L447" s="1186">
        <v>4.0999999999999996</v>
      </c>
      <c r="M447" s="1186">
        <v>4.5</v>
      </c>
      <c r="N447" s="1186">
        <v>5.2</v>
      </c>
      <c r="O447" s="1186"/>
      <c r="P447" s="1186"/>
      <c r="Q447" s="1186">
        <v>3.8</v>
      </c>
      <c r="R447" s="1186">
        <v>1.6</v>
      </c>
      <c r="S447" s="1186">
        <v>3.7</v>
      </c>
      <c r="T447" s="1186">
        <v>2.9</v>
      </c>
      <c r="U447" s="1186"/>
      <c r="V447" s="1186"/>
      <c r="W447" s="1186"/>
      <c r="X447" s="1186"/>
      <c r="Y447" s="1186"/>
      <c r="Z447" s="1186"/>
      <c r="AA447" s="1186"/>
      <c r="AB447" s="1186"/>
      <c r="AC447" s="1186"/>
      <c r="AD447" s="1187"/>
    </row>
    <row r="448" spans="1:30" x14ac:dyDescent="0.2">
      <c r="A448">
        <f t="shared" si="40"/>
        <v>12</v>
      </c>
      <c r="B448">
        <v>439</v>
      </c>
      <c r="C448" s="1078">
        <v>2</v>
      </c>
      <c r="D448" s="1077" t="s">
        <v>3978</v>
      </c>
      <c r="E448" s="1077" t="s">
        <v>4072</v>
      </c>
      <c r="F448" s="1185"/>
      <c r="G448" s="1186"/>
      <c r="H448" s="1186"/>
      <c r="I448" s="1186">
        <v>5.3</v>
      </c>
      <c r="J448" s="1186">
        <v>2.9</v>
      </c>
      <c r="K448" s="1186">
        <v>4.5999999999999996</v>
      </c>
      <c r="L448" s="1186">
        <v>3.7</v>
      </c>
      <c r="M448" s="1186">
        <v>6.2</v>
      </c>
      <c r="N448" s="1186">
        <v>4.9000000000000004</v>
      </c>
      <c r="O448" s="1186"/>
      <c r="P448" s="1186"/>
      <c r="Q448" s="1186">
        <v>4.5999999999999996</v>
      </c>
      <c r="R448" s="1186">
        <v>1.8</v>
      </c>
      <c r="S448" s="1186">
        <v>7.1</v>
      </c>
      <c r="T448" s="1186">
        <v>2.9</v>
      </c>
      <c r="U448" s="1186"/>
      <c r="V448" s="1186"/>
      <c r="W448" s="1186"/>
      <c r="X448" s="1186"/>
      <c r="Y448" s="1186"/>
      <c r="Z448" s="1186"/>
      <c r="AA448" s="1186"/>
      <c r="AB448" s="1186"/>
      <c r="AC448" s="1186"/>
      <c r="AD448" s="1187"/>
    </row>
    <row r="449" spans="1:30" x14ac:dyDescent="0.2">
      <c r="A449">
        <f t="shared" si="40"/>
        <v>12</v>
      </c>
      <c r="B449">
        <v>440</v>
      </c>
      <c r="C449" s="1078">
        <v>2</v>
      </c>
      <c r="D449" s="1077" t="s">
        <v>3978</v>
      </c>
      <c r="E449" s="1077" t="s">
        <v>4073</v>
      </c>
      <c r="F449" s="1185"/>
      <c r="G449" s="1186"/>
      <c r="H449" s="1186"/>
      <c r="I449" s="1186">
        <v>5.3</v>
      </c>
      <c r="J449" s="1186">
        <v>2.9</v>
      </c>
      <c r="K449" s="1186">
        <v>4.5999999999999996</v>
      </c>
      <c r="L449" s="1186">
        <v>3.7</v>
      </c>
      <c r="M449" s="1186">
        <v>6.2</v>
      </c>
      <c r="N449" s="1186">
        <v>4.9000000000000004</v>
      </c>
      <c r="O449" s="1186"/>
      <c r="P449" s="1186"/>
      <c r="Q449" s="1186">
        <v>4.5999999999999996</v>
      </c>
      <c r="R449" s="1186">
        <v>1.8</v>
      </c>
      <c r="S449" s="1186">
        <v>4.5999999999999996</v>
      </c>
      <c r="T449" s="1186">
        <v>2.7</v>
      </c>
      <c r="U449" s="1186"/>
      <c r="V449" s="1186"/>
      <c r="W449" s="1186"/>
      <c r="X449" s="1186"/>
      <c r="Y449" s="1186"/>
      <c r="Z449" s="1186"/>
      <c r="AA449" s="1186"/>
      <c r="AB449" s="1186"/>
      <c r="AC449" s="1186"/>
      <c r="AD449" s="1187"/>
    </row>
    <row r="450" spans="1:30" x14ac:dyDescent="0.2">
      <c r="A450">
        <f t="shared" si="40"/>
        <v>12</v>
      </c>
      <c r="B450">
        <v>441</v>
      </c>
      <c r="C450" s="1078">
        <v>2</v>
      </c>
      <c r="D450" s="1077" t="s">
        <v>3978</v>
      </c>
      <c r="E450" s="1077" t="s">
        <v>4074</v>
      </c>
      <c r="F450" s="1185"/>
      <c r="G450" s="1186"/>
      <c r="H450" s="1186"/>
      <c r="I450" s="1186">
        <v>5.5</v>
      </c>
      <c r="J450" s="1186">
        <v>2.8</v>
      </c>
      <c r="K450" s="1186">
        <v>5.5</v>
      </c>
      <c r="L450" s="1186">
        <v>3.5</v>
      </c>
      <c r="M450" s="1186">
        <v>7.8</v>
      </c>
      <c r="N450" s="1186">
        <v>4.5999999999999996</v>
      </c>
      <c r="O450" s="1186"/>
      <c r="P450" s="1186"/>
      <c r="Q450" s="1186">
        <v>5.4</v>
      </c>
      <c r="R450" s="1186">
        <v>1.7</v>
      </c>
      <c r="S450" s="1186">
        <v>4.5999999999999996</v>
      </c>
      <c r="T450" s="1186">
        <v>2.7</v>
      </c>
      <c r="U450" s="1186"/>
      <c r="V450" s="1186"/>
      <c r="W450" s="1186"/>
      <c r="X450" s="1186"/>
      <c r="Y450" s="1186"/>
      <c r="Z450" s="1186"/>
      <c r="AA450" s="1186"/>
      <c r="AB450" s="1186"/>
      <c r="AC450" s="1186"/>
      <c r="AD450" s="1187"/>
    </row>
    <row r="451" spans="1:30" x14ac:dyDescent="0.2">
      <c r="A451">
        <f t="shared" si="40"/>
        <v>12</v>
      </c>
      <c r="B451">
        <v>442</v>
      </c>
      <c r="C451" s="1078">
        <v>2</v>
      </c>
      <c r="D451" s="1077" t="s">
        <v>3978</v>
      </c>
      <c r="E451" s="1077" t="s">
        <v>4075</v>
      </c>
      <c r="F451" s="1185"/>
      <c r="G451" s="1186"/>
      <c r="H451" s="1186"/>
      <c r="I451" s="1186">
        <v>5.5</v>
      </c>
      <c r="J451" s="1186">
        <v>2.8</v>
      </c>
      <c r="K451" s="1186">
        <v>5.5</v>
      </c>
      <c r="L451" s="1186">
        <v>3.5</v>
      </c>
      <c r="M451" s="1186">
        <v>7.9</v>
      </c>
      <c r="N451" s="1186">
        <v>4.5999999999999996</v>
      </c>
      <c r="O451" s="1186"/>
      <c r="P451" s="1186"/>
      <c r="Q451" s="1186">
        <v>5.4</v>
      </c>
      <c r="R451" s="1186">
        <v>1.7</v>
      </c>
      <c r="S451" s="1186">
        <v>4.5999999999999996</v>
      </c>
      <c r="T451" s="1186">
        <v>2.7</v>
      </c>
      <c r="U451" s="1186"/>
      <c r="V451" s="1186"/>
      <c r="W451" s="1186"/>
      <c r="X451" s="1186"/>
      <c r="Y451" s="1186"/>
      <c r="Z451" s="1186"/>
      <c r="AA451" s="1186"/>
      <c r="AB451" s="1186"/>
      <c r="AC451" s="1186"/>
      <c r="AD451" s="1187"/>
    </row>
    <row r="452" spans="1:30" x14ac:dyDescent="0.2">
      <c r="A452">
        <f t="shared" si="40"/>
        <v>12</v>
      </c>
      <c r="B452">
        <v>443</v>
      </c>
      <c r="C452" s="1078">
        <v>2</v>
      </c>
      <c r="D452" s="1077" t="s">
        <v>3978</v>
      </c>
      <c r="E452" s="1077" t="s">
        <v>4076</v>
      </c>
      <c r="F452" s="1185"/>
      <c r="G452" s="1186"/>
      <c r="H452" s="1186"/>
      <c r="I452" s="1186">
        <v>6</v>
      </c>
      <c r="J452" s="1186">
        <v>2.5</v>
      </c>
      <c r="K452" s="1186">
        <v>7.7</v>
      </c>
      <c r="L452" s="1186">
        <v>3.3</v>
      </c>
      <c r="M452" s="1186">
        <v>11.3</v>
      </c>
      <c r="N452" s="1186">
        <v>4.4000000000000004</v>
      </c>
      <c r="O452" s="1186"/>
      <c r="P452" s="1186"/>
      <c r="Q452" s="1186">
        <v>6.2</v>
      </c>
      <c r="R452" s="1186">
        <v>1.5</v>
      </c>
      <c r="S452" s="1186">
        <v>10.199999999999999</v>
      </c>
      <c r="T452" s="1186">
        <v>2.6</v>
      </c>
      <c r="U452" s="1186"/>
      <c r="V452" s="1186"/>
      <c r="W452" s="1186"/>
      <c r="X452" s="1186"/>
      <c r="Y452" s="1186"/>
      <c r="Z452" s="1186"/>
      <c r="AA452" s="1186"/>
      <c r="AB452" s="1186"/>
      <c r="AC452" s="1186"/>
      <c r="AD452" s="1187"/>
    </row>
    <row r="453" spans="1:30" x14ac:dyDescent="0.2">
      <c r="A453">
        <f t="shared" si="40"/>
        <v>12</v>
      </c>
      <c r="B453">
        <v>444</v>
      </c>
      <c r="C453" s="1078">
        <v>2</v>
      </c>
      <c r="D453" s="1077" t="s">
        <v>3978</v>
      </c>
      <c r="E453" s="1077" t="s">
        <v>4077</v>
      </c>
      <c r="F453" s="1185"/>
      <c r="G453" s="1186"/>
      <c r="H453" s="1186"/>
      <c r="I453" s="1186">
        <v>8.3000000000000007</v>
      </c>
      <c r="J453" s="1186">
        <v>2.6</v>
      </c>
      <c r="K453" s="1186">
        <v>9.6</v>
      </c>
      <c r="L453" s="1186">
        <v>3.2</v>
      </c>
      <c r="M453" s="1186">
        <v>14.8</v>
      </c>
      <c r="N453" s="1186">
        <v>4.3</v>
      </c>
      <c r="O453" s="1186"/>
      <c r="P453" s="1186"/>
      <c r="Q453" s="1186">
        <v>5.4</v>
      </c>
      <c r="R453" s="1186">
        <v>1.3</v>
      </c>
      <c r="S453" s="1186">
        <v>12.4</v>
      </c>
      <c r="T453" s="1186">
        <v>2.5</v>
      </c>
      <c r="U453" s="1186"/>
      <c r="V453" s="1186"/>
      <c r="W453" s="1186"/>
      <c r="X453" s="1186"/>
      <c r="Y453" s="1186"/>
      <c r="Z453" s="1186"/>
      <c r="AA453" s="1186"/>
      <c r="AB453" s="1186"/>
      <c r="AC453" s="1186"/>
      <c r="AD453" s="1187"/>
    </row>
    <row r="454" spans="1:30" x14ac:dyDescent="0.2">
      <c r="A454">
        <f t="shared" si="40"/>
        <v>12</v>
      </c>
      <c r="B454">
        <v>445</v>
      </c>
      <c r="C454" s="1078">
        <v>2</v>
      </c>
      <c r="D454" s="1077" t="s">
        <v>3978</v>
      </c>
      <c r="E454" s="1077" t="s">
        <v>4078</v>
      </c>
      <c r="F454" s="1185"/>
      <c r="G454" s="1186"/>
      <c r="H454" s="1186"/>
      <c r="I454" s="1186">
        <v>8</v>
      </c>
      <c r="J454" s="1186">
        <v>2.4</v>
      </c>
      <c r="K454" s="1186">
        <v>10.1</v>
      </c>
      <c r="L454" s="1186">
        <v>3.2</v>
      </c>
      <c r="M454" s="1186">
        <v>15.3</v>
      </c>
      <c r="N454" s="1186">
        <v>4.0999999999999996</v>
      </c>
      <c r="O454" s="1186"/>
      <c r="P454" s="1186"/>
      <c r="Q454" s="1186">
        <v>6.3</v>
      </c>
      <c r="R454" s="1186">
        <v>1.4</v>
      </c>
      <c r="S454" s="1186">
        <v>14.3</v>
      </c>
      <c r="T454" s="1186">
        <v>2.5</v>
      </c>
      <c r="U454" s="1186"/>
      <c r="V454" s="1186"/>
      <c r="W454" s="1186"/>
      <c r="X454" s="1186"/>
      <c r="Y454" s="1186"/>
      <c r="Z454" s="1186"/>
      <c r="AA454" s="1186"/>
      <c r="AB454" s="1186"/>
      <c r="AC454" s="1186"/>
      <c r="AD454" s="1187"/>
    </row>
    <row r="455" spans="1:30" x14ac:dyDescent="0.2">
      <c r="A455">
        <f t="shared" si="40"/>
        <v>13</v>
      </c>
      <c r="B455">
        <v>446</v>
      </c>
      <c r="C455" s="1078">
        <v>2</v>
      </c>
      <c r="D455" s="1077" t="s">
        <v>5277</v>
      </c>
      <c r="E455" s="1077" t="s">
        <v>5164</v>
      </c>
      <c r="F455" s="1185">
        <v>4</v>
      </c>
      <c r="G455" s="1186">
        <v>6.43</v>
      </c>
      <c r="H455" s="1186">
        <v>2.66</v>
      </c>
      <c r="I455" s="1186">
        <v>7.49</v>
      </c>
      <c r="J455" s="1186">
        <v>3.13</v>
      </c>
      <c r="K455" s="1186">
        <v>7.75</v>
      </c>
      <c r="L455" s="1186">
        <v>4.28</v>
      </c>
      <c r="M455" s="1186">
        <v>7.95</v>
      </c>
      <c r="N455" s="1186">
        <v>4.88</v>
      </c>
      <c r="O455" s="1186">
        <v>8.98</v>
      </c>
      <c r="P455" s="1186">
        <v>7.24</v>
      </c>
      <c r="Q455" s="1186">
        <v>7.55</v>
      </c>
      <c r="R455" s="1186">
        <v>2.13</v>
      </c>
      <c r="S455" s="1186">
        <v>9.1199999999999992</v>
      </c>
      <c r="T455" s="1186">
        <v>3.13</v>
      </c>
      <c r="U455" s="1186">
        <v>8.91</v>
      </c>
      <c r="V455" s="1186">
        <v>3.84</v>
      </c>
      <c r="W455" s="1186"/>
      <c r="X455" s="1186"/>
      <c r="Y455" s="1186"/>
      <c r="Z455" s="1186"/>
      <c r="AA455" s="1186"/>
      <c r="AB455" s="1186"/>
      <c r="AC455" s="1186"/>
      <c r="AD455" s="1187"/>
    </row>
    <row r="456" spans="1:30" x14ac:dyDescent="0.2">
      <c r="A456">
        <f t="shared" si="40"/>
        <v>13</v>
      </c>
      <c r="B456">
        <v>447</v>
      </c>
      <c r="C456" s="1078">
        <v>2</v>
      </c>
      <c r="D456" s="1077" t="s">
        <v>5277</v>
      </c>
      <c r="E456" s="1077" t="s">
        <v>5165</v>
      </c>
      <c r="F456" s="1185">
        <v>4</v>
      </c>
      <c r="G456" s="1186">
        <v>7.44</v>
      </c>
      <c r="H456" s="1186">
        <v>2.63</v>
      </c>
      <c r="I456" s="1186">
        <v>8.84</v>
      </c>
      <c r="J456" s="1186">
        <v>3.05</v>
      </c>
      <c r="K456" s="1186">
        <v>8.0500000000000007</v>
      </c>
      <c r="L456" s="1186">
        <v>3.87</v>
      </c>
      <c r="M456" s="1186">
        <v>9.25</v>
      </c>
      <c r="N456" s="1186">
        <v>4.67</v>
      </c>
      <c r="O456" s="1186">
        <v>10.51</v>
      </c>
      <c r="P456" s="1186">
        <v>6.91</v>
      </c>
      <c r="Q456" s="1186">
        <v>9.1</v>
      </c>
      <c r="R456" s="1186">
        <v>2.2599999999999998</v>
      </c>
      <c r="S456" s="1186">
        <v>10.61</v>
      </c>
      <c r="T456" s="1186">
        <v>3.01</v>
      </c>
      <c r="U456" s="1186">
        <v>10.43</v>
      </c>
      <c r="V456" s="1186">
        <v>3.69</v>
      </c>
      <c r="W456" s="1186"/>
      <c r="X456" s="1186"/>
      <c r="Y456" s="1186"/>
      <c r="Z456" s="1186"/>
      <c r="AA456" s="1186"/>
      <c r="AB456" s="1186"/>
      <c r="AC456" s="1186"/>
      <c r="AD456" s="1187"/>
    </row>
    <row r="457" spans="1:30" x14ac:dyDescent="0.2">
      <c r="A457">
        <f t="shared" si="40"/>
        <v>13</v>
      </c>
      <c r="B457">
        <v>448</v>
      </c>
      <c r="C457" s="1078">
        <v>2</v>
      </c>
      <c r="D457" s="1077" t="s">
        <v>5277</v>
      </c>
      <c r="E457" s="1077" t="s">
        <v>5166</v>
      </c>
      <c r="F457" s="1185">
        <v>4</v>
      </c>
      <c r="G457" s="1186">
        <v>8.64</v>
      </c>
      <c r="H457" s="1186">
        <v>2.58</v>
      </c>
      <c r="I457" s="1186">
        <v>10.28</v>
      </c>
      <c r="J457" s="1186">
        <v>3.01</v>
      </c>
      <c r="K457" s="1186">
        <v>8.09</v>
      </c>
      <c r="L457" s="1186">
        <v>3.63</v>
      </c>
      <c r="M457" s="1186">
        <v>9.9700000000000006</v>
      </c>
      <c r="N457" s="1186">
        <v>4.51</v>
      </c>
      <c r="O457" s="1186">
        <v>11.28</v>
      </c>
      <c r="P457" s="1186">
        <v>6.64</v>
      </c>
      <c r="Q457" s="1186">
        <v>10.58</v>
      </c>
      <c r="R457" s="1186">
        <v>2.2000000000000002</v>
      </c>
      <c r="S457" s="1186">
        <v>11.44</v>
      </c>
      <c r="T457" s="1186">
        <v>2.91</v>
      </c>
      <c r="U457" s="1186">
        <v>11.19</v>
      </c>
      <c r="V457" s="1186">
        <v>3.58</v>
      </c>
      <c r="W457" s="1186"/>
      <c r="X457" s="1186"/>
      <c r="Y457" s="1186"/>
      <c r="Z457" s="1186"/>
      <c r="AA457" s="1186"/>
      <c r="AB457" s="1186"/>
      <c r="AC457" s="1186"/>
      <c r="AD457" s="1187"/>
    </row>
    <row r="458" spans="1:30" x14ac:dyDescent="0.2">
      <c r="A458">
        <f t="shared" si="40"/>
        <v>13</v>
      </c>
      <c r="B458">
        <v>449</v>
      </c>
      <c r="C458" s="1078">
        <v>2</v>
      </c>
      <c r="D458" s="1077" t="s">
        <v>5277</v>
      </c>
      <c r="E458" s="1077" t="s">
        <v>5167</v>
      </c>
      <c r="F458" s="1185">
        <v>4</v>
      </c>
      <c r="G458" s="1186">
        <v>9.43</v>
      </c>
      <c r="H458" s="1186">
        <v>2.46</v>
      </c>
      <c r="I458" s="1186">
        <v>10.65</v>
      </c>
      <c r="J458" s="1186">
        <v>3.03</v>
      </c>
      <c r="K458" s="1186">
        <v>8.5500000000000007</v>
      </c>
      <c r="L458" s="1186">
        <v>3.33</v>
      </c>
      <c r="M458" s="1186">
        <v>9.75</v>
      </c>
      <c r="N458" s="1186">
        <v>4.49</v>
      </c>
      <c r="O458" s="1186">
        <v>9.93</v>
      </c>
      <c r="P458" s="1186">
        <v>7.2</v>
      </c>
      <c r="Q458" s="1186">
        <v>10.99</v>
      </c>
      <c r="R458" s="1186">
        <v>2.29</v>
      </c>
      <c r="S458" s="1186">
        <v>10.42</v>
      </c>
      <c r="T458" s="1186">
        <v>3.06</v>
      </c>
      <c r="U458" s="1186">
        <v>9.5299999999999994</v>
      </c>
      <c r="V458" s="1186">
        <v>4.13</v>
      </c>
      <c r="W458" s="1186"/>
      <c r="X458" s="1186"/>
      <c r="Y458" s="1186"/>
      <c r="Z458" s="1186"/>
      <c r="AA458" s="1186"/>
      <c r="AB458" s="1186"/>
      <c r="AC458" s="1186"/>
      <c r="AD458" s="1187"/>
    </row>
    <row r="459" spans="1:30" x14ac:dyDescent="0.2">
      <c r="A459">
        <f t="shared" si="40"/>
        <v>13</v>
      </c>
      <c r="B459">
        <v>450</v>
      </c>
      <c r="C459" s="1078">
        <v>2</v>
      </c>
      <c r="D459" s="1077" t="s">
        <v>5277</v>
      </c>
      <c r="E459" s="1077" t="s">
        <v>5168</v>
      </c>
      <c r="F459" s="1185">
        <v>4</v>
      </c>
      <c r="G459" s="1186">
        <v>10.44</v>
      </c>
      <c r="H459" s="1186">
        <v>2.4500000000000002</v>
      </c>
      <c r="I459" s="1186">
        <v>11.79</v>
      </c>
      <c r="J459" s="1186">
        <v>3.03</v>
      </c>
      <c r="K459" s="1186">
        <v>9.16</v>
      </c>
      <c r="L459" s="1186">
        <v>3.33</v>
      </c>
      <c r="M459" s="1186">
        <v>10.44</v>
      </c>
      <c r="N459" s="1186">
        <v>4.5</v>
      </c>
      <c r="O459" s="1186">
        <v>10.64</v>
      </c>
      <c r="P459" s="1186">
        <v>7.19</v>
      </c>
      <c r="Q459" s="1186">
        <v>12.5</v>
      </c>
      <c r="R459" s="1186">
        <v>2.29</v>
      </c>
      <c r="S459" s="1186">
        <v>11.42</v>
      </c>
      <c r="T459" s="1186">
        <v>3.06</v>
      </c>
      <c r="U459" s="1186">
        <v>10.44</v>
      </c>
      <c r="V459" s="1186">
        <v>4.13</v>
      </c>
      <c r="W459" s="1186"/>
      <c r="X459" s="1186"/>
      <c r="Y459" s="1186"/>
      <c r="Z459" s="1186"/>
      <c r="AA459" s="1186"/>
      <c r="AB459" s="1186"/>
      <c r="AC459" s="1186"/>
      <c r="AD459" s="1187"/>
    </row>
    <row r="460" spans="1:30" x14ac:dyDescent="0.2">
      <c r="A460">
        <f t="shared" ref="A460:A523" si="41">A459+(D460&lt;&gt;D459)*1</f>
        <v>13</v>
      </c>
      <c r="B460">
        <v>451</v>
      </c>
      <c r="C460" s="1078">
        <v>2</v>
      </c>
      <c r="D460" s="1077" t="s">
        <v>5277</v>
      </c>
      <c r="E460" s="1077" t="s">
        <v>5169</v>
      </c>
      <c r="F460" s="1185">
        <v>4</v>
      </c>
      <c r="G460" s="1186">
        <v>11.23</v>
      </c>
      <c r="H460" s="1186">
        <v>2.4500000000000002</v>
      </c>
      <c r="I460" s="1186">
        <v>12.67</v>
      </c>
      <c r="J460" s="1186">
        <v>3.02</v>
      </c>
      <c r="K460" s="1186">
        <v>10.17</v>
      </c>
      <c r="L460" s="1186">
        <v>3.06</v>
      </c>
      <c r="M460" s="1186">
        <v>11.6</v>
      </c>
      <c r="N460" s="1186">
        <v>4.5</v>
      </c>
      <c r="O460" s="1186">
        <v>11.83</v>
      </c>
      <c r="P460" s="1186">
        <v>7.21</v>
      </c>
      <c r="Q460" s="1186">
        <v>13.08</v>
      </c>
      <c r="R460" s="1186">
        <v>2.29</v>
      </c>
      <c r="S460" s="1186">
        <v>12.41</v>
      </c>
      <c r="T460" s="1186">
        <v>3.06</v>
      </c>
      <c r="U460" s="1186">
        <v>11.35</v>
      </c>
      <c r="V460" s="1186">
        <v>4.13</v>
      </c>
      <c r="W460" s="1186"/>
      <c r="X460" s="1186"/>
      <c r="Y460" s="1186"/>
      <c r="Z460" s="1186"/>
      <c r="AA460" s="1186"/>
      <c r="AB460" s="1186"/>
      <c r="AC460" s="1186"/>
      <c r="AD460" s="1187"/>
    </row>
    <row r="461" spans="1:30" x14ac:dyDescent="0.2">
      <c r="A461">
        <f t="shared" si="41"/>
        <v>14</v>
      </c>
      <c r="B461">
        <v>452</v>
      </c>
      <c r="C461" s="1078">
        <v>2</v>
      </c>
      <c r="D461" s="1077" t="s">
        <v>3606</v>
      </c>
      <c r="E461" s="1077" t="s">
        <v>4079</v>
      </c>
      <c r="F461" s="1185"/>
      <c r="G461" s="1186"/>
      <c r="H461" s="1186"/>
      <c r="I461" s="1186">
        <v>4.2</v>
      </c>
      <c r="J461" s="1186">
        <v>2.8</v>
      </c>
      <c r="K461" s="1186">
        <v>4.8</v>
      </c>
      <c r="L461" s="1186">
        <v>3.4</v>
      </c>
      <c r="M461" s="1186">
        <v>5.6</v>
      </c>
      <c r="N461" s="1186">
        <v>5.6</v>
      </c>
      <c r="O461" s="1186"/>
      <c r="P461" s="1186"/>
      <c r="Q461" s="1186">
        <v>3.6</v>
      </c>
      <c r="R461" s="1186">
        <v>1.7</v>
      </c>
      <c r="S461" s="1186">
        <v>4.9000000000000004</v>
      </c>
      <c r="T461" s="1186">
        <v>2.6</v>
      </c>
      <c r="U461" s="1186"/>
      <c r="V461" s="1186"/>
      <c r="W461" s="1186"/>
      <c r="X461" s="1186"/>
      <c r="Y461" s="1186"/>
      <c r="Z461" s="1186"/>
      <c r="AA461" s="1186"/>
      <c r="AB461" s="1186"/>
      <c r="AC461" s="1186"/>
      <c r="AD461" s="1187"/>
    </row>
    <row r="462" spans="1:30" x14ac:dyDescent="0.2">
      <c r="A462">
        <f t="shared" si="41"/>
        <v>14</v>
      </c>
      <c r="B462">
        <v>453</v>
      </c>
      <c r="C462" s="1078">
        <v>2</v>
      </c>
      <c r="D462" s="1077" t="s">
        <v>3606</v>
      </c>
      <c r="E462" s="1077" t="s">
        <v>4080</v>
      </c>
      <c r="F462" s="1185"/>
      <c r="G462" s="1186">
        <v>3.5</v>
      </c>
      <c r="H462" s="1186">
        <v>2.4</v>
      </c>
      <c r="I462" s="1186">
        <v>4.2</v>
      </c>
      <c r="J462" s="1186">
        <v>2.8</v>
      </c>
      <c r="K462" s="1186">
        <v>4.8</v>
      </c>
      <c r="L462" s="1186">
        <v>3.4</v>
      </c>
      <c r="M462" s="1186">
        <v>5.6</v>
      </c>
      <c r="N462" s="1186">
        <v>4.8</v>
      </c>
      <c r="O462" s="1186"/>
      <c r="P462" s="1186"/>
      <c r="Q462" s="1186">
        <v>3.6</v>
      </c>
      <c r="R462" s="1186">
        <v>1.7</v>
      </c>
      <c r="S462" s="1186">
        <v>4.9000000000000004</v>
      </c>
      <c r="T462" s="1186">
        <v>2.6</v>
      </c>
      <c r="U462" s="1186"/>
      <c r="V462" s="1186"/>
      <c r="W462" s="1186"/>
      <c r="X462" s="1186"/>
      <c r="Y462" s="1186"/>
      <c r="Z462" s="1186"/>
      <c r="AA462" s="1186"/>
      <c r="AB462" s="1186"/>
      <c r="AC462" s="1186"/>
      <c r="AD462" s="1187"/>
    </row>
    <row r="463" spans="1:30" x14ac:dyDescent="0.2">
      <c r="A463">
        <f t="shared" si="41"/>
        <v>14</v>
      </c>
      <c r="B463">
        <v>454</v>
      </c>
      <c r="C463" s="1078">
        <v>2</v>
      </c>
      <c r="D463" s="1077" t="s">
        <v>3606</v>
      </c>
      <c r="E463" s="1077" t="s">
        <v>4081</v>
      </c>
      <c r="F463" s="1185"/>
      <c r="G463" s="1186">
        <v>3</v>
      </c>
      <c r="H463" s="1186">
        <v>2.2000000000000002</v>
      </c>
      <c r="I463" s="1186">
        <v>3.9</v>
      </c>
      <c r="J463" s="1186">
        <v>2.9</v>
      </c>
      <c r="K463" s="1186">
        <v>5.0999999999999996</v>
      </c>
      <c r="L463" s="1186">
        <v>3.8</v>
      </c>
      <c r="M463" s="1186">
        <v>6.4</v>
      </c>
      <c r="N463" s="1186">
        <v>4.5999999999999996</v>
      </c>
      <c r="O463" s="1186">
        <v>8</v>
      </c>
      <c r="P463" s="1186">
        <v>5.7</v>
      </c>
      <c r="Q463" s="1186">
        <v>3.6</v>
      </c>
      <c r="R463" s="1186">
        <v>1.8</v>
      </c>
      <c r="S463" s="1186">
        <v>5.7</v>
      </c>
      <c r="T463" s="1186">
        <v>2.7</v>
      </c>
      <c r="U463" s="1186">
        <v>7.3</v>
      </c>
      <c r="V463" s="1186">
        <v>3.4</v>
      </c>
      <c r="W463" s="1186"/>
      <c r="X463" s="1186"/>
      <c r="Y463" s="1186"/>
      <c r="Z463" s="1186"/>
      <c r="AA463" s="1186"/>
      <c r="AB463" s="1186"/>
      <c r="AC463" s="1186"/>
      <c r="AD463" s="1187"/>
    </row>
    <row r="464" spans="1:30" x14ac:dyDescent="0.2">
      <c r="A464">
        <f t="shared" si="41"/>
        <v>14</v>
      </c>
      <c r="B464">
        <v>455</v>
      </c>
      <c r="C464" s="1078">
        <v>2</v>
      </c>
      <c r="D464" s="1077" t="s">
        <v>3606</v>
      </c>
      <c r="E464" s="1077" t="s">
        <v>4082</v>
      </c>
      <c r="F464" s="1185"/>
      <c r="G464" s="1186">
        <v>5.5</v>
      </c>
      <c r="H464" s="1186">
        <v>2.2999999999999998</v>
      </c>
      <c r="I464" s="1186">
        <v>6.7</v>
      </c>
      <c r="J464" s="1186">
        <v>2.8</v>
      </c>
      <c r="K464" s="1186">
        <v>5.3</v>
      </c>
      <c r="L464" s="1186">
        <v>3.6</v>
      </c>
      <c r="M464" s="1186">
        <v>5.6</v>
      </c>
      <c r="N464" s="1186">
        <v>4.8</v>
      </c>
      <c r="O464" s="1186"/>
      <c r="P464" s="1186"/>
      <c r="Q464" s="1186">
        <v>4.8</v>
      </c>
      <c r="R464" s="1186">
        <v>1.8</v>
      </c>
      <c r="S464" s="1186">
        <v>4.9000000000000004</v>
      </c>
      <c r="T464" s="1186">
        <v>2.6</v>
      </c>
      <c r="U464" s="1186"/>
      <c r="V464" s="1186"/>
      <c r="W464" s="1186"/>
      <c r="X464" s="1186"/>
      <c r="Y464" s="1186"/>
      <c r="Z464" s="1186"/>
      <c r="AA464" s="1186"/>
      <c r="AB464" s="1186"/>
      <c r="AC464" s="1186"/>
      <c r="AD464" s="1187"/>
    </row>
    <row r="465" spans="1:30" x14ac:dyDescent="0.2">
      <c r="A465">
        <f t="shared" si="41"/>
        <v>14</v>
      </c>
      <c r="B465">
        <v>456</v>
      </c>
      <c r="C465" s="1078">
        <v>2</v>
      </c>
      <c r="D465" s="1077" t="s">
        <v>3606</v>
      </c>
      <c r="E465" s="1077" t="s">
        <v>4083</v>
      </c>
      <c r="F465" s="1185"/>
      <c r="G465" s="1186">
        <v>5.5</v>
      </c>
      <c r="H465" s="1186">
        <v>2.2999999999999998</v>
      </c>
      <c r="I465" s="1186">
        <v>6.7</v>
      </c>
      <c r="J465" s="1186">
        <v>2.8</v>
      </c>
      <c r="K465" s="1186">
        <v>5.3</v>
      </c>
      <c r="L465" s="1186">
        <v>3.6</v>
      </c>
      <c r="M465" s="1186">
        <v>5.6</v>
      </c>
      <c r="N465" s="1186">
        <v>4.8</v>
      </c>
      <c r="O465" s="1186">
        <v>7.3</v>
      </c>
      <c r="P465" s="1186">
        <v>6.2</v>
      </c>
      <c r="Q465" s="1186">
        <v>4.8</v>
      </c>
      <c r="R465" s="1186">
        <v>1.8</v>
      </c>
      <c r="S465" s="1186">
        <v>4.9000000000000004</v>
      </c>
      <c r="T465" s="1186">
        <v>2.6</v>
      </c>
      <c r="U465" s="1186">
        <v>7</v>
      </c>
      <c r="V465" s="1186">
        <v>4.4000000000000004</v>
      </c>
      <c r="W465" s="1186"/>
      <c r="X465" s="1186"/>
      <c r="Y465" s="1186"/>
      <c r="Z465" s="1186"/>
      <c r="AA465" s="1186"/>
      <c r="AB465" s="1186"/>
      <c r="AC465" s="1186"/>
      <c r="AD465" s="1187"/>
    </row>
    <row r="466" spans="1:30" x14ac:dyDescent="0.2">
      <c r="A466">
        <f t="shared" si="41"/>
        <v>14</v>
      </c>
      <c r="B466">
        <v>457</v>
      </c>
      <c r="C466" s="1078">
        <v>2</v>
      </c>
      <c r="D466" s="1077" t="s">
        <v>3606</v>
      </c>
      <c r="E466" s="1077" t="s">
        <v>4084</v>
      </c>
      <c r="F466" s="1185"/>
      <c r="G466" s="1186"/>
      <c r="H466" s="1186"/>
      <c r="I466" s="1186">
        <v>5.3</v>
      </c>
      <c r="J466" s="1186">
        <v>2.8</v>
      </c>
      <c r="K466" s="1186">
        <v>6.6</v>
      </c>
      <c r="L466" s="1186">
        <v>3.5</v>
      </c>
      <c r="M466" s="1186">
        <v>7.7</v>
      </c>
      <c r="N466" s="1186">
        <v>4</v>
      </c>
      <c r="O466" s="1186"/>
      <c r="P466" s="1186"/>
      <c r="Q466" s="1186">
        <v>4.9000000000000004</v>
      </c>
      <c r="R466" s="1186">
        <v>1.8</v>
      </c>
      <c r="S466" s="1186">
        <v>7.1</v>
      </c>
      <c r="T466" s="1186">
        <v>2.5</v>
      </c>
      <c r="U466" s="1186"/>
      <c r="V466" s="1186"/>
      <c r="W466" s="1186"/>
      <c r="X466" s="1186"/>
      <c r="Y466" s="1186"/>
      <c r="Z466" s="1186"/>
      <c r="AA466" s="1186"/>
      <c r="AB466" s="1186"/>
      <c r="AC466" s="1186"/>
      <c r="AD466" s="1187"/>
    </row>
    <row r="467" spans="1:30" x14ac:dyDescent="0.2">
      <c r="A467">
        <f t="shared" si="41"/>
        <v>14</v>
      </c>
      <c r="B467">
        <v>458</v>
      </c>
      <c r="C467" s="1078">
        <v>2</v>
      </c>
      <c r="D467" s="1077" t="s">
        <v>3606</v>
      </c>
      <c r="E467" s="1077" t="s">
        <v>4085</v>
      </c>
      <c r="F467" s="1185"/>
      <c r="G467" s="1186"/>
      <c r="H467" s="1186"/>
      <c r="I467" s="1186">
        <v>5.3</v>
      </c>
      <c r="J467" s="1186">
        <v>2.8</v>
      </c>
      <c r="K467" s="1186">
        <v>6.6</v>
      </c>
      <c r="L467" s="1186">
        <v>3.5</v>
      </c>
      <c r="M467" s="1186">
        <v>7.7</v>
      </c>
      <c r="N467" s="1186">
        <v>4</v>
      </c>
      <c r="O467" s="1186"/>
      <c r="P467" s="1186"/>
      <c r="Q467" s="1186">
        <v>4.9000000000000004</v>
      </c>
      <c r="R467" s="1186">
        <v>1.8</v>
      </c>
      <c r="S467" s="1186">
        <v>7.1</v>
      </c>
      <c r="T467" s="1186">
        <v>2.5</v>
      </c>
      <c r="U467" s="1186"/>
      <c r="V467" s="1186"/>
      <c r="W467" s="1186"/>
      <c r="X467" s="1186"/>
      <c r="Y467" s="1186"/>
      <c r="Z467" s="1186"/>
      <c r="AA467" s="1186"/>
      <c r="AB467" s="1186"/>
      <c r="AC467" s="1186"/>
      <c r="AD467" s="1187"/>
    </row>
    <row r="468" spans="1:30" x14ac:dyDescent="0.2">
      <c r="A468">
        <f t="shared" si="41"/>
        <v>14</v>
      </c>
      <c r="B468">
        <v>459</v>
      </c>
      <c r="C468" s="1078">
        <v>2</v>
      </c>
      <c r="D468" s="1077" t="s">
        <v>3606</v>
      </c>
      <c r="E468" s="1077" t="s">
        <v>4086</v>
      </c>
      <c r="F468" s="1185"/>
      <c r="G468" s="1186">
        <v>4.2</v>
      </c>
      <c r="H468" s="1186">
        <v>2.4</v>
      </c>
      <c r="I468" s="1186">
        <v>5.4</v>
      </c>
      <c r="J468" s="1186">
        <v>3</v>
      </c>
      <c r="K468" s="1186">
        <v>6.8</v>
      </c>
      <c r="L468" s="1186">
        <v>3.9</v>
      </c>
      <c r="M468" s="1186">
        <v>8.5</v>
      </c>
      <c r="N468" s="1186">
        <v>4.7</v>
      </c>
      <c r="O468" s="1186">
        <v>10.6</v>
      </c>
      <c r="P468" s="1186">
        <v>5.6</v>
      </c>
      <c r="Q468" s="1186">
        <v>5</v>
      </c>
      <c r="R468" s="1186">
        <v>1.9</v>
      </c>
      <c r="S468" s="1186">
        <v>7.5</v>
      </c>
      <c r="T468" s="1186">
        <v>2.9</v>
      </c>
      <c r="U468" s="1186">
        <v>9.6</v>
      </c>
      <c r="V468" s="1186">
        <v>3.5</v>
      </c>
      <c r="W468" s="1186"/>
      <c r="X468" s="1186"/>
      <c r="Y468" s="1186"/>
      <c r="Z468" s="1186"/>
      <c r="AA468" s="1186"/>
      <c r="AB468" s="1186"/>
      <c r="AC468" s="1186"/>
      <c r="AD468" s="1187"/>
    </row>
    <row r="469" spans="1:30" x14ac:dyDescent="0.2">
      <c r="A469">
        <f t="shared" si="41"/>
        <v>14</v>
      </c>
      <c r="B469">
        <v>460</v>
      </c>
      <c r="C469" s="1078">
        <v>2</v>
      </c>
      <c r="D469" s="1077" t="s">
        <v>3606</v>
      </c>
      <c r="E469" s="1077" t="s">
        <v>4087</v>
      </c>
      <c r="F469" s="1185"/>
      <c r="G469" s="1186"/>
      <c r="H469" s="1186"/>
      <c r="I469" s="1186">
        <v>5.5</v>
      </c>
      <c r="J469" s="1186">
        <v>3.2</v>
      </c>
      <c r="K469" s="1186">
        <v>7.2</v>
      </c>
      <c r="L469" s="1186">
        <v>4.2</v>
      </c>
      <c r="M469" s="1186">
        <v>8.4</v>
      </c>
      <c r="N469" s="1186">
        <v>4.8</v>
      </c>
      <c r="O469" s="1186"/>
      <c r="P469" s="1186"/>
      <c r="Q469" s="1186">
        <v>5.5</v>
      </c>
      <c r="R469" s="1186">
        <v>2.2000000000000002</v>
      </c>
      <c r="S469" s="1186">
        <v>8</v>
      </c>
      <c r="T469" s="1186">
        <v>3.1</v>
      </c>
      <c r="U469" s="1186"/>
      <c r="V469" s="1186"/>
      <c r="W469" s="1186"/>
      <c r="X469" s="1186"/>
      <c r="Y469" s="1186"/>
      <c r="Z469" s="1186"/>
      <c r="AA469" s="1186"/>
      <c r="AB469" s="1186"/>
      <c r="AC469" s="1186"/>
      <c r="AD469" s="1187"/>
    </row>
    <row r="470" spans="1:30" x14ac:dyDescent="0.2">
      <c r="A470">
        <f t="shared" si="41"/>
        <v>14</v>
      </c>
      <c r="B470">
        <v>461</v>
      </c>
      <c r="C470" s="1078">
        <v>2</v>
      </c>
      <c r="D470" s="1077" t="s">
        <v>3606</v>
      </c>
      <c r="E470" s="1077" t="s">
        <v>4088</v>
      </c>
      <c r="F470" s="1185"/>
      <c r="G470" s="1186"/>
      <c r="H470" s="1186"/>
      <c r="I470" s="1186">
        <v>5.5</v>
      </c>
      <c r="J470" s="1186">
        <v>3.2</v>
      </c>
      <c r="K470" s="1186">
        <v>7.2</v>
      </c>
      <c r="L470" s="1186">
        <v>4.2</v>
      </c>
      <c r="M470" s="1186">
        <v>8.4</v>
      </c>
      <c r="N470" s="1186">
        <v>4.8</v>
      </c>
      <c r="O470" s="1186"/>
      <c r="P470" s="1186"/>
      <c r="Q470" s="1186">
        <v>5.5</v>
      </c>
      <c r="R470" s="1186">
        <v>2.2000000000000002</v>
      </c>
      <c r="S470" s="1186">
        <v>8</v>
      </c>
      <c r="T470" s="1186">
        <v>3.1</v>
      </c>
      <c r="U470" s="1186"/>
      <c r="V470" s="1186"/>
      <c r="W470" s="1186"/>
      <c r="X470" s="1186"/>
      <c r="Y470" s="1186"/>
      <c r="Z470" s="1186"/>
      <c r="AA470" s="1186"/>
      <c r="AB470" s="1186"/>
      <c r="AC470" s="1186"/>
      <c r="AD470" s="1187"/>
    </row>
    <row r="471" spans="1:30" x14ac:dyDescent="0.2">
      <c r="A471">
        <f t="shared" si="41"/>
        <v>14</v>
      </c>
      <c r="B471">
        <v>462</v>
      </c>
      <c r="C471" s="1078">
        <v>2</v>
      </c>
      <c r="D471" s="1077" t="s">
        <v>3606</v>
      </c>
      <c r="E471" s="1077" t="s">
        <v>4089</v>
      </c>
      <c r="F471" s="1185"/>
      <c r="G471" s="1186"/>
      <c r="H471" s="1186"/>
      <c r="I471" s="1186">
        <v>5.6</v>
      </c>
      <c r="J471" s="1186">
        <v>3.2</v>
      </c>
      <c r="K471" s="1186">
        <v>7.3</v>
      </c>
      <c r="L471" s="1186">
        <v>4.2</v>
      </c>
      <c r="M471" s="1186">
        <v>8.3000000000000007</v>
      </c>
      <c r="N471" s="1186">
        <v>4.8</v>
      </c>
      <c r="O471" s="1186"/>
      <c r="P471" s="1186"/>
      <c r="Q471" s="1186">
        <v>5.5</v>
      </c>
      <c r="R471" s="1186">
        <v>2.2000000000000002</v>
      </c>
      <c r="S471" s="1186">
        <v>7.7</v>
      </c>
      <c r="T471" s="1186">
        <v>3.1</v>
      </c>
      <c r="U471" s="1186"/>
      <c r="V471" s="1186"/>
      <c r="W471" s="1186"/>
      <c r="X471" s="1186"/>
      <c r="Y471" s="1186"/>
      <c r="Z471" s="1186"/>
      <c r="AA471" s="1186"/>
      <c r="AB471" s="1186"/>
      <c r="AC471" s="1186"/>
      <c r="AD471" s="1187"/>
    </row>
    <row r="472" spans="1:30" x14ac:dyDescent="0.2">
      <c r="A472">
        <f t="shared" si="41"/>
        <v>14</v>
      </c>
      <c r="B472">
        <v>463</v>
      </c>
      <c r="C472" s="1078">
        <v>2</v>
      </c>
      <c r="D472" s="1077" t="s">
        <v>3606</v>
      </c>
      <c r="E472" s="1077" t="s">
        <v>4090</v>
      </c>
      <c r="F472" s="1185"/>
      <c r="G472" s="1186"/>
      <c r="H472" s="1186"/>
      <c r="I472" s="1186">
        <v>5.5</v>
      </c>
      <c r="J472" s="1186">
        <v>2.8</v>
      </c>
      <c r="K472" s="1186">
        <v>7.6</v>
      </c>
      <c r="L472" s="1186">
        <v>3.7</v>
      </c>
      <c r="M472" s="1186">
        <v>9.6</v>
      </c>
      <c r="N472" s="1186">
        <v>4.3</v>
      </c>
      <c r="O472" s="1186"/>
      <c r="P472" s="1186"/>
      <c r="Q472" s="1186">
        <v>3.9</v>
      </c>
      <c r="R472" s="1186">
        <v>1.9</v>
      </c>
      <c r="S472" s="1186">
        <v>7.2</v>
      </c>
      <c r="T472" s="1186">
        <v>2.7</v>
      </c>
      <c r="U472" s="1186">
        <v>9.9</v>
      </c>
      <c r="V472" s="1186">
        <v>3.4</v>
      </c>
      <c r="W472" s="1186"/>
      <c r="X472" s="1186"/>
      <c r="Y472" s="1186"/>
      <c r="Z472" s="1186"/>
      <c r="AA472" s="1186"/>
      <c r="AB472" s="1186"/>
      <c r="AC472" s="1186"/>
      <c r="AD472" s="1187"/>
    </row>
    <row r="473" spans="1:30" x14ac:dyDescent="0.2">
      <c r="A473">
        <f t="shared" si="41"/>
        <v>14</v>
      </c>
      <c r="B473">
        <v>464</v>
      </c>
      <c r="C473" s="1078">
        <v>2</v>
      </c>
      <c r="D473" s="1077" t="s">
        <v>3606</v>
      </c>
      <c r="E473" s="1077" t="s">
        <v>4091</v>
      </c>
      <c r="F473" s="1185"/>
      <c r="G473" s="1186"/>
      <c r="H473" s="1186"/>
      <c r="I473" s="1186">
        <v>7</v>
      </c>
      <c r="J473" s="1186">
        <v>3</v>
      </c>
      <c r="K473" s="1186">
        <v>8.3000000000000007</v>
      </c>
      <c r="L473" s="1186">
        <v>3.6</v>
      </c>
      <c r="M473" s="1186">
        <v>10</v>
      </c>
      <c r="N473" s="1186">
        <v>4.2</v>
      </c>
      <c r="O473" s="1186"/>
      <c r="P473" s="1186"/>
      <c r="Q473" s="1186">
        <v>6.6</v>
      </c>
      <c r="R473" s="1186">
        <v>2</v>
      </c>
      <c r="S473" s="1186">
        <v>9.8000000000000007</v>
      </c>
      <c r="T473" s="1186">
        <v>2.8</v>
      </c>
      <c r="U473" s="1186"/>
      <c r="V473" s="1186"/>
      <c r="W473" s="1186"/>
      <c r="X473" s="1186"/>
      <c r="Y473" s="1186"/>
      <c r="Z473" s="1186"/>
      <c r="AA473" s="1186"/>
      <c r="AB473" s="1186"/>
      <c r="AC473" s="1186"/>
      <c r="AD473" s="1187"/>
    </row>
    <row r="474" spans="1:30" x14ac:dyDescent="0.2">
      <c r="A474">
        <f t="shared" si="41"/>
        <v>14</v>
      </c>
      <c r="B474">
        <v>465</v>
      </c>
      <c r="C474" s="1078">
        <v>2</v>
      </c>
      <c r="D474" s="1077" t="s">
        <v>3606</v>
      </c>
      <c r="E474" s="1077" t="s">
        <v>4092</v>
      </c>
      <c r="F474" s="1185"/>
      <c r="G474" s="1186"/>
      <c r="H474" s="1186"/>
      <c r="I474" s="1186">
        <v>7.2</v>
      </c>
      <c r="J474" s="1186">
        <v>2.8</v>
      </c>
      <c r="K474" s="1186">
        <v>8.6</v>
      </c>
      <c r="L474" s="1186">
        <v>3.4</v>
      </c>
      <c r="M474" s="1186">
        <v>10.1</v>
      </c>
      <c r="N474" s="1186">
        <v>4</v>
      </c>
      <c r="O474" s="1186"/>
      <c r="P474" s="1186"/>
      <c r="Q474" s="1186">
        <v>7.1</v>
      </c>
      <c r="R474" s="1186">
        <v>1.9</v>
      </c>
      <c r="S474" s="1186">
        <v>10.3</v>
      </c>
      <c r="T474" s="1186">
        <v>2.7</v>
      </c>
      <c r="U474" s="1186"/>
      <c r="V474" s="1186"/>
      <c r="W474" s="1186"/>
      <c r="X474" s="1186"/>
      <c r="Y474" s="1186"/>
      <c r="Z474" s="1186"/>
      <c r="AA474" s="1186"/>
      <c r="AB474" s="1186"/>
      <c r="AC474" s="1186"/>
      <c r="AD474" s="1187"/>
    </row>
    <row r="475" spans="1:30" x14ac:dyDescent="0.2">
      <c r="A475">
        <f t="shared" si="41"/>
        <v>14</v>
      </c>
      <c r="B475">
        <v>466</v>
      </c>
      <c r="C475" s="1078">
        <v>2</v>
      </c>
      <c r="D475" s="1077" t="s">
        <v>3606</v>
      </c>
      <c r="E475" s="1077" t="s">
        <v>4093</v>
      </c>
      <c r="F475" s="1185"/>
      <c r="G475" s="1186"/>
      <c r="H475" s="1186"/>
      <c r="I475" s="1186">
        <v>7.6</v>
      </c>
      <c r="J475" s="1186">
        <v>2.9</v>
      </c>
      <c r="K475" s="1186">
        <v>9.4</v>
      </c>
      <c r="L475" s="1186">
        <v>3.7</v>
      </c>
      <c r="M475" s="1186">
        <v>11.6</v>
      </c>
      <c r="N475" s="1186">
        <v>4.3</v>
      </c>
      <c r="O475" s="1186"/>
      <c r="P475" s="1186"/>
      <c r="Q475" s="1186"/>
      <c r="R475" s="1186"/>
      <c r="S475" s="1186">
        <v>10</v>
      </c>
      <c r="T475" s="1186">
        <v>2.7</v>
      </c>
      <c r="U475" s="1186"/>
      <c r="V475" s="1186"/>
      <c r="W475" s="1186"/>
      <c r="X475" s="1186"/>
      <c r="Y475" s="1186"/>
      <c r="Z475" s="1186"/>
      <c r="AA475" s="1186"/>
      <c r="AB475" s="1186"/>
      <c r="AC475" s="1186"/>
      <c r="AD475" s="1187"/>
    </row>
    <row r="476" spans="1:30" x14ac:dyDescent="0.2">
      <c r="A476">
        <f t="shared" si="41"/>
        <v>14</v>
      </c>
      <c r="B476">
        <v>467</v>
      </c>
      <c r="C476" s="1078">
        <v>2</v>
      </c>
      <c r="D476" s="1077" t="s">
        <v>3606</v>
      </c>
      <c r="E476" s="1077" t="s">
        <v>4094</v>
      </c>
      <c r="F476" s="1185"/>
      <c r="G476" s="1186">
        <v>5.7</v>
      </c>
      <c r="H476" s="1186">
        <v>2.6</v>
      </c>
      <c r="I476" s="1186">
        <v>7.2</v>
      </c>
      <c r="J476" s="1186">
        <v>3.1</v>
      </c>
      <c r="K476" s="1186">
        <v>9.4</v>
      </c>
      <c r="L476" s="1186">
        <v>4.0999999999999996</v>
      </c>
      <c r="M476" s="1186">
        <v>11.2</v>
      </c>
      <c r="N476" s="1186">
        <v>4.7</v>
      </c>
      <c r="O476" s="1186">
        <v>14.1</v>
      </c>
      <c r="P476" s="1186">
        <v>6.4</v>
      </c>
      <c r="Q476" s="1186">
        <v>6.9</v>
      </c>
      <c r="R476" s="1186">
        <v>2.1</v>
      </c>
      <c r="S476" s="1186">
        <v>10.6</v>
      </c>
      <c r="T476" s="1186">
        <v>3.1</v>
      </c>
      <c r="U476" s="1186">
        <v>12.9</v>
      </c>
      <c r="V476" s="1186">
        <v>3.6</v>
      </c>
      <c r="W476" s="1186"/>
      <c r="X476" s="1186"/>
      <c r="Y476" s="1186"/>
      <c r="Z476" s="1186"/>
      <c r="AA476" s="1186"/>
      <c r="AB476" s="1186"/>
      <c r="AC476" s="1186"/>
      <c r="AD476" s="1187"/>
    </row>
    <row r="477" spans="1:30" x14ac:dyDescent="0.2">
      <c r="A477">
        <f t="shared" si="41"/>
        <v>14</v>
      </c>
      <c r="B477">
        <v>468</v>
      </c>
      <c r="C477" s="1081">
        <v>2</v>
      </c>
      <c r="D477" s="1077" t="s">
        <v>3606</v>
      </c>
      <c r="E477" s="1082" t="s">
        <v>4095</v>
      </c>
      <c r="F477" s="1188"/>
      <c r="G477" s="1189"/>
      <c r="H477" s="1189"/>
      <c r="I477" s="1189">
        <v>7.3</v>
      </c>
      <c r="J477" s="1189">
        <v>3.1</v>
      </c>
      <c r="K477" s="1189">
        <v>9.5</v>
      </c>
      <c r="L477" s="1189">
        <v>4</v>
      </c>
      <c r="M477" s="1189">
        <v>11.3</v>
      </c>
      <c r="N477" s="1189">
        <v>4.7</v>
      </c>
      <c r="O477" s="1189"/>
      <c r="P477" s="1189"/>
      <c r="Q477" s="1189">
        <v>7.2</v>
      </c>
      <c r="R477" s="1189">
        <v>2.2000000000000002</v>
      </c>
      <c r="S477" s="1189">
        <v>10</v>
      </c>
      <c r="T477" s="1189">
        <v>3</v>
      </c>
      <c r="U477" s="1189"/>
      <c r="V477" s="1189"/>
      <c r="W477" s="1189"/>
      <c r="X477" s="1189"/>
      <c r="Y477" s="1189"/>
      <c r="Z477" s="1189"/>
      <c r="AA477" s="1189"/>
      <c r="AB477" s="1189"/>
      <c r="AC477" s="1189"/>
      <c r="AD477" s="1194"/>
    </row>
    <row r="478" spans="1:30" x14ac:dyDescent="0.2">
      <c r="A478">
        <f t="shared" si="41"/>
        <v>14</v>
      </c>
      <c r="B478">
        <v>469</v>
      </c>
      <c r="C478" s="1190">
        <v>2</v>
      </c>
      <c r="D478" s="1077" t="s">
        <v>3606</v>
      </c>
      <c r="E478" s="1191" t="s">
        <v>4096</v>
      </c>
      <c r="F478" s="1192"/>
      <c r="G478" s="1193"/>
      <c r="H478" s="1193"/>
      <c r="I478" s="1193">
        <v>13.9</v>
      </c>
      <c r="J478" s="1193">
        <v>2.9</v>
      </c>
      <c r="K478" s="1193">
        <v>10.5</v>
      </c>
      <c r="L478" s="1193">
        <v>3.6</v>
      </c>
      <c r="M478" s="1193">
        <v>10.6</v>
      </c>
      <c r="N478" s="1193">
        <v>4.0999999999999996</v>
      </c>
      <c r="O478" s="1193"/>
      <c r="P478" s="1193"/>
      <c r="Q478" s="1193">
        <v>11.3</v>
      </c>
      <c r="R478" s="1193">
        <v>2.1</v>
      </c>
      <c r="S478" s="1193">
        <v>8.8000000000000007</v>
      </c>
      <c r="T478" s="1193">
        <v>2.9</v>
      </c>
      <c r="U478" s="1193"/>
      <c r="V478" s="1193"/>
      <c r="W478" s="1193"/>
      <c r="X478" s="1193"/>
      <c r="Y478" s="1193"/>
      <c r="Z478" s="1193"/>
      <c r="AA478" s="1193"/>
      <c r="AB478" s="1193"/>
      <c r="AC478" s="1193"/>
      <c r="AD478" s="1195"/>
    </row>
    <row r="479" spans="1:30" x14ac:dyDescent="0.2">
      <c r="A479">
        <f t="shared" si="41"/>
        <v>14</v>
      </c>
      <c r="B479">
        <v>470</v>
      </c>
      <c r="C479" s="1078">
        <v>2</v>
      </c>
      <c r="D479" s="1077" t="s">
        <v>3606</v>
      </c>
      <c r="E479" s="1077" t="s">
        <v>4097</v>
      </c>
      <c r="F479" s="1185"/>
      <c r="G479" s="1186"/>
      <c r="H479" s="1186"/>
      <c r="I479" s="1186">
        <v>13.9</v>
      </c>
      <c r="J479" s="1186">
        <v>2.9</v>
      </c>
      <c r="K479" s="1186">
        <v>10.5</v>
      </c>
      <c r="L479" s="1186">
        <v>3.6</v>
      </c>
      <c r="M479" s="1186">
        <v>10.6</v>
      </c>
      <c r="N479" s="1186">
        <v>4.0999999999999996</v>
      </c>
      <c r="O479" s="1186"/>
      <c r="P479" s="1186"/>
      <c r="Q479" s="1186">
        <v>11.3</v>
      </c>
      <c r="R479" s="1186">
        <v>2.1</v>
      </c>
      <c r="S479" s="1186">
        <v>8.8000000000000007</v>
      </c>
      <c r="T479" s="1186">
        <v>2.9</v>
      </c>
      <c r="U479" s="1186"/>
      <c r="V479" s="1186"/>
      <c r="W479" s="1186"/>
      <c r="X479" s="1186"/>
      <c r="Y479" s="1186"/>
      <c r="Z479" s="1186"/>
      <c r="AA479" s="1186"/>
      <c r="AB479" s="1186"/>
      <c r="AC479" s="1186"/>
      <c r="AD479" s="1187"/>
    </row>
    <row r="480" spans="1:30" x14ac:dyDescent="0.2">
      <c r="A480">
        <f t="shared" si="41"/>
        <v>14</v>
      </c>
      <c r="B480">
        <v>471</v>
      </c>
      <c r="C480" s="1078">
        <v>2</v>
      </c>
      <c r="D480" s="1077" t="s">
        <v>3606</v>
      </c>
      <c r="E480" s="1077" t="s">
        <v>4098</v>
      </c>
      <c r="F480" s="1185"/>
      <c r="G480" s="1186"/>
      <c r="H480" s="1186"/>
      <c r="I480" s="1186">
        <v>10</v>
      </c>
      <c r="J480" s="1186">
        <v>2.7</v>
      </c>
      <c r="K480" s="1186">
        <v>11.7</v>
      </c>
      <c r="L480" s="1186">
        <v>3.2</v>
      </c>
      <c r="M480" s="1186">
        <v>14.6</v>
      </c>
      <c r="N480" s="1186">
        <v>3.7</v>
      </c>
      <c r="O480" s="1186"/>
      <c r="P480" s="1186"/>
      <c r="Q480" s="1186">
        <v>9</v>
      </c>
      <c r="R480" s="1186">
        <v>1.9</v>
      </c>
      <c r="S480" s="1186">
        <v>14.4</v>
      </c>
      <c r="T480" s="1186">
        <v>2.7</v>
      </c>
      <c r="U480" s="1186"/>
      <c r="V480" s="1186"/>
      <c r="W480" s="1186"/>
      <c r="X480" s="1186"/>
      <c r="Y480" s="1186"/>
      <c r="Z480" s="1186"/>
      <c r="AA480" s="1186"/>
      <c r="AB480" s="1186"/>
      <c r="AC480" s="1186"/>
      <c r="AD480" s="1187"/>
    </row>
    <row r="481" spans="1:30" x14ac:dyDescent="0.2">
      <c r="A481">
        <f t="shared" si="41"/>
        <v>14</v>
      </c>
      <c r="B481">
        <v>472</v>
      </c>
      <c r="C481" s="1190">
        <v>2</v>
      </c>
      <c r="D481" s="1077" t="s">
        <v>3606</v>
      </c>
      <c r="E481" s="1191" t="s">
        <v>4099</v>
      </c>
      <c r="F481" s="1192"/>
      <c r="G481" s="1193"/>
      <c r="H481" s="1193"/>
      <c r="I481" s="1193">
        <v>10.7</v>
      </c>
      <c r="J481" s="1193">
        <v>2.7</v>
      </c>
      <c r="K481" s="1193">
        <v>13.4</v>
      </c>
      <c r="L481" s="1193">
        <v>3.3</v>
      </c>
      <c r="M481" s="1193">
        <v>16.399999999999999</v>
      </c>
      <c r="N481" s="1193">
        <v>4</v>
      </c>
      <c r="O481" s="1193"/>
      <c r="P481" s="1193"/>
      <c r="Q481" s="1193">
        <v>11</v>
      </c>
      <c r="R481" s="1193">
        <v>1.9</v>
      </c>
      <c r="S481" s="1193">
        <v>15.5</v>
      </c>
      <c r="T481" s="1193">
        <v>2.5</v>
      </c>
      <c r="U481" s="1193"/>
      <c r="V481" s="1193"/>
      <c r="W481" s="1193"/>
      <c r="X481" s="1193"/>
      <c r="Y481" s="1193"/>
      <c r="Z481" s="1193"/>
      <c r="AA481" s="1193"/>
      <c r="AB481" s="1193"/>
      <c r="AC481" s="1193"/>
      <c r="AD481" s="1195"/>
    </row>
    <row r="482" spans="1:30" x14ac:dyDescent="0.2">
      <c r="A482">
        <f t="shared" si="41"/>
        <v>14</v>
      </c>
      <c r="B482">
        <v>473</v>
      </c>
      <c r="C482" s="1078">
        <v>2</v>
      </c>
      <c r="D482" s="1077" t="s">
        <v>3606</v>
      </c>
      <c r="E482" s="1077" t="s">
        <v>4815</v>
      </c>
      <c r="F482" s="1185">
        <v>4</v>
      </c>
      <c r="G482" s="1186">
        <v>8.6999999999999993</v>
      </c>
      <c r="H482" s="1186">
        <v>2.6</v>
      </c>
      <c r="I482" s="1186">
        <v>10.7</v>
      </c>
      <c r="J482" s="1186">
        <v>3.1</v>
      </c>
      <c r="K482" s="1186">
        <v>6</v>
      </c>
      <c r="L482" s="1186">
        <v>4.2</v>
      </c>
      <c r="M482" s="1186">
        <v>7.1</v>
      </c>
      <c r="N482" s="1186">
        <v>5.0999999999999996</v>
      </c>
      <c r="O482" s="1186">
        <v>8.4</v>
      </c>
      <c r="P482" s="1186">
        <v>6.1</v>
      </c>
      <c r="Q482" s="1186">
        <v>9.4</v>
      </c>
      <c r="R482" s="1186">
        <v>2</v>
      </c>
      <c r="S482" s="1186">
        <v>7.1</v>
      </c>
      <c r="T482" s="1186">
        <v>3.2</v>
      </c>
      <c r="U482" s="1186">
        <v>13.2</v>
      </c>
      <c r="V482" s="1186">
        <v>3.6</v>
      </c>
      <c r="W482" s="1186"/>
      <c r="X482" s="1186"/>
      <c r="Y482" s="1186"/>
      <c r="Z482" s="1186"/>
      <c r="AA482" s="1186"/>
      <c r="AB482" s="1186"/>
      <c r="AC482" s="1186"/>
      <c r="AD482" s="1187"/>
    </row>
    <row r="483" spans="1:30" x14ac:dyDescent="0.2">
      <c r="A483">
        <f t="shared" si="41"/>
        <v>14</v>
      </c>
      <c r="B483">
        <v>474</v>
      </c>
      <c r="C483" s="1078">
        <v>2</v>
      </c>
      <c r="D483" s="1077" t="s">
        <v>3606</v>
      </c>
      <c r="E483" s="1077" t="s">
        <v>4100</v>
      </c>
      <c r="F483" s="1185"/>
      <c r="G483" s="1186">
        <v>8.1</v>
      </c>
      <c r="H483" s="1186">
        <v>2.2999999999999998</v>
      </c>
      <c r="I483" s="1186">
        <v>11.4</v>
      </c>
      <c r="J483" s="1186">
        <v>2.7</v>
      </c>
      <c r="K483" s="1186">
        <v>14.1</v>
      </c>
      <c r="L483" s="1186">
        <v>3.1</v>
      </c>
      <c r="M483" s="1186">
        <v>17</v>
      </c>
      <c r="N483" s="1186">
        <v>3.4</v>
      </c>
      <c r="O483" s="1186"/>
      <c r="P483" s="1186"/>
      <c r="Q483" s="1186">
        <v>10.4</v>
      </c>
      <c r="R483" s="1186">
        <v>2.2999999999999998</v>
      </c>
      <c r="S483" s="1186">
        <v>16.7</v>
      </c>
      <c r="T483" s="1186">
        <v>2.8</v>
      </c>
      <c r="U483" s="1186">
        <v>21.7</v>
      </c>
      <c r="V483" s="1186">
        <v>3.3</v>
      </c>
      <c r="W483" s="1186"/>
      <c r="X483" s="1186"/>
      <c r="Y483" s="1186"/>
      <c r="Z483" s="1186"/>
      <c r="AA483" s="1186"/>
      <c r="AB483" s="1186"/>
      <c r="AC483" s="1186"/>
      <c r="AD483" s="1187"/>
    </row>
    <row r="484" spans="1:30" x14ac:dyDescent="0.2">
      <c r="A484">
        <f t="shared" si="41"/>
        <v>14</v>
      </c>
      <c r="B484">
        <v>475</v>
      </c>
      <c r="C484" s="1078">
        <v>2</v>
      </c>
      <c r="D484" s="1077" t="s">
        <v>3606</v>
      </c>
      <c r="E484" s="1077" t="s">
        <v>4101</v>
      </c>
      <c r="F484" s="1185"/>
      <c r="G484" s="1186"/>
      <c r="H484" s="1186"/>
      <c r="I484" s="1186">
        <v>11.5</v>
      </c>
      <c r="J484" s="1186">
        <v>2.7</v>
      </c>
      <c r="K484" s="1186">
        <v>14.5</v>
      </c>
      <c r="L484" s="1186">
        <v>3.4</v>
      </c>
      <c r="M484" s="1186">
        <v>17.399999999999999</v>
      </c>
      <c r="N484" s="1186">
        <v>3.9</v>
      </c>
      <c r="O484" s="1186"/>
      <c r="P484" s="1186"/>
      <c r="Q484" s="1186">
        <v>11</v>
      </c>
      <c r="R484" s="1186">
        <v>2</v>
      </c>
      <c r="S484" s="1186">
        <v>16.3</v>
      </c>
      <c r="T484" s="1186">
        <v>2.7</v>
      </c>
      <c r="U484" s="1186"/>
      <c r="V484" s="1186"/>
      <c r="W484" s="1186"/>
      <c r="X484" s="1186"/>
      <c r="Y484" s="1186"/>
      <c r="Z484" s="1186"/>
      <c r="AA484" s="1186"/>
      <c r="AB484" s="1186"/>
      <c r="AC484" s="1186"/>
      <c r="AD484" s="1187"/>
    </row>
    <row r="485" spans="1:30" x14ac:dyDescent="0.2">
      <c r="A485">
        <f t="shared" si="41"/>
        <v>14</v>
      </c>
      <c r="B485">
        <v>476</v>
      </c>
      <c r="C485" s="1078">
        <v>2</v>
      </c>
      <c r="D485" s="1077" t="s">
        <v>3606</v>
      </c>
      <c r="E485" s="1077" t="s">
        <v>4102</v>
      </c>
      <c r="F485" s="1185"/>
      <c r="G485" s="1186">
        <v>8.6999999999999993</v>
      </c>
      <c r="H485" s="1186">
        <v>2.2999999999999998</v>
      </c>
      <c r="I485" s="1186">
        <v>10.3</v>
      </c>
      <c r="J485" s="1186">
        <v>2.7</v>
      </c>
      <c r="K485" s="1186">
        <v>14.7</v>
      </c>
      <c r="L485" s="1186">
        <v>3.7</v>
      </c>
      <c r="M485" s="1186">
        <v>19.600000000000001</v>
      </c>
      <c r="N485" s="1186">
        <v>4.4000000000000004</v>
      </c>
      <c r="O485" s="1186"/>
      <c r="P485" s="1186"/>
      <c r="Q485" s="1186">
        <v>10</v>
      </c>
      <c r="R485" s="1186">
        <v>1.7</v>
      </c>
      <c r="S485" s="1186">
        <v>18.8</v>
      </c>
      <c r="T485" s="1186">
        <v>2.9</v>
      </c>
      <c r="U485" s="1186">
        <v>22.1</v>
      </c>
      <c r="V485" s="1186">
        <v>3.4</v>
      </c>
      <c r="W485" s="1186"/>
      <c r="X485" s="1186"/>
      <c r="Y485" s="1186"/>
      <c r="Z485" s="1186"/>
      <c r="AA485" s="1186"/>
      <c r="AB485" s="1186"/>
      <c r="AC485" s="1186"/>
      <c r="AD485" s="1187"/>
    </row>
    <row r="486" spans="1:30" x14ac:dyDescent="0.2">
      <c r="A486">
        <f t="shared" si="41"/>
        <v>14</v>
      </c>
      <c r="B486">
        <v>477</v>
      </c>
      <c r="C486" s="1078">
        <v>2</v>
      </c>
      <c r="D486" s="1077" t="s">
        <v>3606</v>
      </c>
      <c r="E486" s="1077" t="s">
        <v>4103</v>
      </c>
      <c r="F486" s="1185"/>
      <c r="G486" s="1186">
        <v>10.3</v>
      </c>
      <c r="H486" s="1186">
        <v>2.4</v>
      </c>
      <c r="I486" s="1186">
        <v>12.8</v>
      </c>
      <c r="J486" s="1186">
        <v>2.9</v>
      </c>
      <c r="K486" s="1186">
        <v>14.8</v>
      </c>
      <c r="L486" s="1186">
        <v>3.3</v>
      </c>
      <c r="M486" s="1186">
        <v>17.7</v>
      </c>
      <c r="N486" s="1186">
        <v>4</v>
      </c>
      <c r="O486" s="1186"/>
      <c r="P486" s="1186"/>
      <c r="Q486" s="1186">
        <v>13.1</v>
      </c>
      <c r="R486" s="1186">
        <v>2</v>
      </c>
      <c r="S486" s="1186">
        <v>18.7</v>
      </c>
      <c r="T486" s="1186">
        <v>2.7</v>
      </c>
      <c r="U486" s="1186">
        <v>23.9</v>
      </c>
      <c r="V486" s="1186">
        <v>3.2</v>
      </c>
      <c r="W486" s="1186"/>
      <c r="X486" s="1186"/>
      <c r="Y486" s="1186"/>
      <c r="Z486" s="1186"/>
      <c r="AA486" s="1186"/>
      <c r="AB486" s="1186"/>
      <c r="AC486" s="1186"/>
      <c r="AD486" s="1187"/>
    </row>
    <row r="487" spans="1:30" x14ac:dyDescent="0.2">
      <c r="A487">
        <f t="shared" si="41"/>
        <v>14</v>
      </c>
      <c r="B487">
        <v>478</v>
      </c>
      <c r="C487" s="1078">
        <v>2</v>
      </c>
      <c r="D487" s="1077" t="s">
        <v>3606</v>
      </c>
      <c r="E487" s="1077" t="s">
        <v>4104</v>
      </c>
      <c r="F487" s="1185"/>
      <c r="G487" s="1186">
        <v>14.4</v>
      </c>
      <c r="H487" s="1186">
        <v>2.5</v>
      </c>
      <c r="I487" s="1186">
        <v>16.7</v>
      </c>
      <c r="J487" s="1186">
        <v>3</v>
      </c>
      <c r="K487" s="1186">
        <v>19.600000000000001</v>
      </c>
      <c r="L487" s="1186">
        <v>3.7</v>
      </c>
      <c r="M487" s="1186">
        <v>26.1</v>
      </c>
      <c r="N487" s="1186">
        <v>4.4000000000000004</v>
      </c>
      <c r="O487" s="1186">
        <v>33</v>
      </c>
      <c r="P487" s="1186">
        <v>5.5</v>
      </c>
      <c r="Q487" s="1186">
        <v>16</v>
      </c>
      <c r="R487" s="1186">
        <v>2</v>
      </c>
      <c r="S487" s="1186">
        <v>25</v>
      </c>
      <c r="T487" s="1186">
        <v>2.9</v>
      </c>
      <c r="U487" s="1186">
        <v>30.3</v>
      </c>
      <c r="V487" s="1186">
        <v>3.3</v>
      </c>
      <c r="W487" s="1186"/>
      <c r="X487" s="1186"/>
      <c r="Y487" s="1186"/>
      <c r="Z487" s="1186"/>
      <c r="AA487" s="1186"/>
      <c r="AB487" s="1186"/>
      <c r="AC487" s="1186"/>
      <c r="AD487" s="1187"/>
    </row>
    <row r="488" spans="1:30" x14ac:dyDescent="0.2">
      <c r="A488">
        <f t="shared" si="41"/>
        <v>14</v>
      </c>
      <c r="B488">
        <v>479</v>
      </c>
      <c r="C488" s="1078">
        <v>2</v>
      </c>
      <c r="D488" s="1077" t="s">
        <v>3606</v>
      </c>
      <c r="E488" s="1077" t="s">
        <v>4105</v>
      </c>
      <c r="F488" s="1185"/>
      <c r="G488" s="1186">
        <v>12.9</v>
      </c>
      <c r="H488" s="1186">
        <v>2.2999999999999998</v>
      </c>
      <c r="I488" s="1186">
        <v>15.7</v>
      </c>
      <c r="J488" s="1186">
        <v>2.7</v>
      </c>
      <c r="K488" s="1186">
        <v>19.899999999999999</v>
      </c>
      <c r="L488" s="1186">
        <v>3.4</v>
      </c>
      <c r="M488" s="1186">
        <v>23.4</v>
      </c>
      <c r="N488" s="1186">
        <v>3.9</v>
      </c>
      <c r="O488" s="1186"/>
      <c r="P488" s="1186"/>
      <c r="Q488" s="1186">
        <v>15.7</v>
      </c>
      <c r="R488" s="1186">
        <v>1.9</v>
      </c>
      <c r="S488" s="1186">
        <v>22.3</v>
      </c>
      <c r="T488" s="1186">
        <v>2.6</v>
      </c>
      <c r="U488" s="1186"/>
      <c r="V488" s="1186"/>
      <c r="W488" s="1186"/>
      <c r="X488" s="1186"/>
      <c r="Y488" s="1186"/>
      <c r="Z488" s="1186"/>
      <c r="AA488" s="1186"/>
      <c r="AB488" s="1186"/>
      <c r="AC488" s="1186"/>
      <c r="AD488" s="1187"/>
    </row>
    <row r="489" spans="1:30" x14ac:dyDescent="0.2">
      <c r="A489">
        <f t="shared" si="41"/>
        <v>14</v>
      </c>
      <c r="B489">
        <v>480</v>
      </c>
      <c r="C489" s="1078">
        <v>2</v>
      </c>
      <c r="D489" s="1077" t="s">
        <v>3606</v>
      </c>
      <c r="E489" s="1077" t="s">
        <v>4106</v>
      </c>
      <c r="F489" s="1185"/>
      <c r="G489" s="1186"/>
      <c r="H489" s="1186"/>
      <c r="I489" s="1186">
        <v>16.899999999999999</v>
      </c>
      <c r="J489" s="1186">
        <v>2.9</v>
      </c>
      <c r="K489" s="1186">
        <v>20.3</v>
      </c>
      <c r="L489" s="1186">
        <v>3.4</v>
      </c>
      <c r="M489" s="1186">
        <v>25.1</v>
      </c>
      <c r="N489" s="1186">
        <v>3.9</v>
      </c>
      <c r="O489" s="1186"/>
      <c r="P489" s="1186"/>
      <c r="Q489" s="1186">
        <v>16</v>
      </c>
      <c r="R489" s="1186">
        <v>2.1</v>
      </c>
      <c r="S489" s="1186">
        <v>23.7</v>
      </c>
      <c r="T489" s="1186">
        <v>2.7</v>
      </c>
      <c r="U489" s="1186"/>
      <c r="V489" s="1186"/>
      <c r="W489" s="1186"/>
      <c r="X489" s="1186"/>
      <c r="Y489" s="1186"/>
      <c r="Z489" s="1186"/>
      <c r="AA489" s="1186"/>
      <c r="AB489" s="1186"/>
      <c r="AC489" s="1186"/>
      <c r="AD489" s="1187"/>
    </row>
    <row r="490" spans="1:30" x14ac:dyDescent="0.2">
      <c r="A490">
        <f t="shared" si="41"/>
        <v>14</v>
      </c>
      <c r="B490">
        <v>481</v>
      </c>
      <c r="C490" s="1078">
        <v>2</v>
      </c>
      <c r="D490" s="1077" t="s">
        <v>3606</v>
      </c>
      <c r="E490" s="1077" t="s">
        <v>4107</v>
      </c>
      <c r="F490" s="1185"/>
      <c r="G490" s="1186"/>
      <c r="H490" s="1186"/>
      <c r="I490" s="1186">
        <v>21.6</v>
      </c>
      <c r="J490" s="1186">
        <v>2.8</v>
      </c>
      <c r="K490" s="1186">
        <v>25.2</v>
      </c>
      <c r="L490" s="1186">
        <v>3.3</v>
      </c>
      <c r="M490" s="1186">
        <v>27.8</v>
      </c>
      <c r="N490" s="1186">
        <v>3.5</v>
      </c>
      <c r="O490" s="1186"/>
      <c r="P490" s="1186"/>
      <c r="Q490" s="1186">
        <v>21.7</v>
      </c>
      <c r="R490" s="1186">
        <v>2</v>
      </c>
      <c r="S490" s="1186">
        <v>26.4</v>
      </c>
      <c r="T490" s="1186">
        <v>2.4</v>
      </c>
      <c r="U490" s="1186"/>
      <c r="V490" s="1186"/>
      <c r="W490" s="1186"/>
      <c r="X490" s="1186"/>
      <c r="Y490" s="1186"/>
      <c r="Z490" s="1186"/>
      <c r="AA490" s="1186"/>
      <c r="AB490" s="1186"/>
      <c r="AC490" s="1186"/>
      <c r="AD490" s="1187"/>
    </row>
    <row r="491" spans="1:30" x14ac:dyDescent="0.2">
      <c r="A491">
        <f t="shared" si="41"/>
        <v>14</v>
      </c>
      <c r="B491">
        <v>482</v>
      </c>
      <c r="C491" s="1078">
        <v>2</v>
      </c>
      <c r="D491" s="1077" t="s">
        <v>3606</v>
      </c>
      <c r="E491" s="1077" t="s">
        <v>5180</v>
      </c>
      <c r="F491" s="1185">
        <v>2</v>
      </c>
      <c r="G491" s="1186">
        <v>16</v>
      </c>
      <c r="H491" s="1186">
        <v>2.6</v>
      </c>
      <c r="I491" s="1186">
        <v>19.899999999999999</v>
      </c>
      <c r="J491" s="1186">
        <v>3.1</v>
      </c>
      <c r="K491" s="1186">
        <v>13.3</v>
      </c>
      <c r="L491" s="1186">
        <v>4</v>
      </c>
      <c r="M491" s="1186">
        <v>16.2</v>
      </c>
      <c r="N491" s="1186">
        <v>4.9000000000000004</v>
      </c>
      <c r="O491" s="1186">
        <v>23.2</v>
      </c>
      <c r="P491" s="1186">
        <v>6.8</v>
      </c>
      <c r="Q491" s="1186">
        <v>19.7</v>
      </c>
      <c r="R491" s="1186">
        <v>2.2999999999999998</v>
      </c>
      <c r="S491" s="1186">
        <v>15.4</v>
      </c>
      <c r="T491" s="1186">
        <v>3.4</v>
      </c>
      <c r="U491" s="1186">
        <v>21.2</v>
      </c>
      <c r="V491" s="1186">
        <v>4.7</v>
      </c>
      <c r="W491" s="1186"/>
      <c r="X491" s="1186"/>
      <c r="Y491" s="1186"/>
      <c r="Z491" s="1186"/>
      <c r="AA491" s="1186"/>
      <c r="AB491" s="1186"/>
      <c r="AC491" s="1186"/>
      <c r="AD491" s="1187"/>
    </row>
    <row r="492" spans="1:30" x14ac:dyDescent="0.2">
      <c r="A492">
        <f t="shared" si="41"/>
        <v>14</v>
      </c>
      <c r="B492">
        <v>483</v>
      </c>
      <c r="C492" s="1078">
        <v>2</v>
      </c>
      <c r="D492" s="1077" t="s">
        <v>3606</v>
      </c>
      <c r="E492" s="1077" t="s">
        <v>4816</v>
      </c>
      <c r="F492" s="1185">
        <v>2</v>
      </c>
      <c r="G492" s="1186">
        <v>18.5</v>
      </c>
      <c r="H492" s="1186">
        <v>2.78</v>
      </c>
      <c r="I492" s="1186">
        <v>22.3</v>
      </c>
      <c r="J492" s="1186">
        <v>3.1</v>
      </c>
      <c r="K492" s="1186">
        <v>14.21</v>
      </c>
      <c r="L492" s="1186">
        <v>3.59</v>
      </c>
      <c r="M492" s="1186">
        <v>17.63</v>
      </c>
      <c r="N492" s="1186">
        <v>4.33</v>
      </c>
      <c r="O492" s="1186">
        <v>23.5</v>
      </c>
      <c r="P492" s="1186">
        <v>5.35</v>
      </c>
      <c r="Q492" s="1186">
        <v>21.8</v>
      </c>
      <c r="R492" s="1186">
        <v>2.34</v>
      </c>
      <c r="S492" s="1186">
        <v>17.37</v>
      </c>
      <c r="T492" s="1186">
        <v>3.11</v>
      </c>
      <c r="U492" s="1186">
        <v>21.73</v>
      </c>
      <c r="V492" s="1186">
        <v>3.9</v>
      </c>
      <c r="W492" s="1186"/>
      <c r="X492" s="1186"/>
      <c r="Y492" s="1186"/>
      <c r="Z492" s="1186"/>
      <c r="AA492" s="1186"/>
      <c r="AB492" s="1186"/>
      <c r="AC492" s="1186"/>
      <c r="AD492" s="1187"/>
    </row>
    <row r="493" spans="1:30" x14ac:dyDescent="0.2">
      <c r="A493">
        <f t="shared" si="41"/>
        <v>14</v>
      </c>
      <c r="B493">
        <v>484</v>
      </c>
      <c r="C493" s="1078">
        <v>2</v>
      </c>
      <c r="D493" s="1077" t="s">
        <v>3606</v>
      </c>
      <c r="E493" s="1077" t="s">
        <v>5307</v>
      </c>
      <c r="F493" s="1185">
        <v>2</v>
      </c>
      <c r="G493" s="1186">
        <v>31.7</v>
      </c>
      <c r="H493" s="1186">
        <v>2.6</v>
      </c>
      <c r="I493" s="1186">
        <v>38</v>
      </c>
      <c r="J493" s="1186">
        <v>3</v>
      </c>
      <c r="K493" s="1186">
        <v>26.6</v>
      </c>
      <c r="L493" s="1186">
        <v>3.6</v>
      </c>
      <c r="M493" s="1186">
        <v>35.299999999999997</v>
      </c>
      <c r="N493" s="1186">
        <v>4.5</v>
      </c>
      <c r="O493" s="1186">
        <v>44.4</v>
      </c>
      <c r="P493" s="1186">
        <v>5.25</v>
      </c>
      <c r="Q493" s="1186">
        <v>36.799999999999997</v>
      </c>
      <c r="R493" s="1186">
        <v>2.2999999999999998</v>
      </c>
      <c r="S493" s="1186">
        <v>31.7</v>
      </c>
      <c r="T493" s="1186">
        <v>3.2</v>
      </c>
      <c r="U493" s="1186">
        <v>40.5</v>
      </c>
      <c r="V493" s="1186">
        <v>3.9</v>
      </c>
      <c r="W493" s="1186"/>
      <c r="X493" s="1186"/>
      <c r="Y493" s="1186"/>
      <c r="Z493" s="1186"/>
      <c r="AA493" s="1186"/>
      <c r="AB493" s="1186"/>
      <c r="AC493" s="1186"/>
      <c r="AD493" s="1187"/>
    </row>
    <row r="494" spans="1:30" x14ac:dyDescent="0.2">
      <c r="A494">
        <f t="shared" si="41"/>
        <v>14</v>
      </c>
      <c r="B494">
        <v>485</v>
      </c>
      <c r="C494" s="1078">
        <v>2</v>
      </c>
      <c r="D494" s="1077" t="s">
        <v>3606</v>
      </c>
      <c r="E494" s="1077" t="s">
        <v>4108</v>
      </c>
      <c r="F494" s="1185"/>
      <c r="G494" s="1186">
        <v>17.899999999999999</v>
      </c>
      <c r="H494" s="1186">
        <v>2.2999999999999998</v>
      </c>
      <c r="I494" s="1186">
        <v>23.3</v>
      </c>
      <c r="J494" s="1186">
        <v>3</v>
      </c>
      <c r="K494" s="1186">
        <v>28.1</v>
      </c>
      <c r="L494" s="1186">
        <v>3.7</v>
      </c>
      <c r="M494" s="1186">
        <v>34.700000000000003</v>
      </c>
      <c r="N494" s="1186">
        <v>4.3</v>
      </c>
      <c r="O494" s="1186"/>
      <c r="P494" s="1186"/>
      <c r="Q494" s="1186">
        <v>21.6</v>
      </c>
      <c r="R494" s="1186">
        <v>1.8</v>
      </c>
      <c r="S494" s="1186">
        <v>32</v>
      </c>
      <c r="T494" s="1186">
        <v>2.6</v>
      </c>
      <c r="U494" s="1186">
        <v>42.7</v>
      </c>
      <c r="V494" s="1186">
        <v>3.3</v>
      </c>
      <c r="W494" s="1186"/>
      <c r="X494" s="1186"/>
      <c r="Y494" s="1186"/>
      <c r="Z494" s="1186"/>
      <c r="AA494" s="1186"/>
      <c r="AB494" s="1186"/>
      <c r="AC494" s="1186"/>
      <c r="AD494" s="1187"/>
    </row>
    <row r="495" spans="1:30" x14ac:dyDescent="0.2">
      <c r="A495">
        <f t="shared" si="41"/>
        <v>14</v>
      </c>
      <c r="B495">
        <v>486</v>
      </c>
      <c r="C495" s="1078">
        <v>2</v>
      </c>
      <c r="D495" s="1077" t="s">
        <v>3606</v>
      </c>
      <c r="E495" s="1077" t="s">
        <v>4817</v>
      </c>
      <c r="F495" s="1185">
        <v>2</v>
      </c>
      <c r="G495" s="1186">
        <v>31.7</v>
      </c>
      <c r="H495" s="1186">
        <v>2.6</v>
      </c>
      <c r="I495" s="1186">
        <v>38</v>
      </c>
      <c r="J495" s="1186">
        <v>3</v>
      </c>
      <c r="K495" s="1186">
        <v>26.6</v>
      </c>
      <c r="L495" s="1186">
        <v>3.6</v>
      </c>
      <c r="M495" s="1186">
        <v>35.299999999999997</v>
      </c>
      <c r="N495" s="1186">
        <v>4.5</v>
      </c>
      <c r="O495" s="1186">
        <v>44.4</v>
      </c>
      <c r="P495" s="1186">
        <v>5.25</v>
      </c>
      <c r="Q495" s="1186">
        <v>36.799999999999997</v>
      </c>
      <c r="R495" s="1186">
        <v>2.2999999999999998</v>
      </c>
      <c r="S495" s="1186">
        <v>31.7</v>
      </c>
      <c r="T495" s="1186">
        <v>3.2</v>
      </c>
      <c r="U495" s="1186">
        <v>40.5</v>
      </c>
      <c r="V495" s="1186">
        <v>3.9</v>
      </c>
      <c r="W495" s="1186"/>
      <c r="X495" s="1186"/>
      <c r="Y495" s="1186"/>
      <c r="Z495" s="1186"/>
      <c r="AA495" s="1186"/>
      <c r="AB495" s="1186"/>
      <c r="AC495" s="1186"/>
      <c r="AD495" s="1187"/>
    </row>
    <row r="496" spans="1:30" x14ac:dyDescent="0.2">
      <c r="A496">
        <f t="shared" si="41"/>
        <v>14</v>
      </c>
      <c r="B496">
        <v>487</v>
      </c>
      <c r="C496" s="1078">
        <v>2</v>
      </c>
      <c r="D496" s="1077" t="s">
        <v>3606</v>
      </c>
      <c r="E496" s="1077" t="s">
        <v>4818</v>
      </c>
      <c r="F496" s="1185">
        <v>2</v>
      </c>
      <c r="G496" s="1186">
        <v>31.7</v>
      </c>
      <c r="H496" s="1186">
        <v>2.6</v>
      </c>
      <c r="I496" s="1186">
        <v>38</v>
      </c>
      <c r="J496" s="1186">
        <v>3</v>
      </c>
      <c r="K496" s="1186">
        <v>26.6</v>
      </c>
      <c r="L496" s="1186">
        <v>3.6</v>
      </c>
      <c r="M496" s="1186">
        <v>35.299999999999997</v>
      </c>
      <c r="N496" s="1186">
        <v>4.5</v>
      </c>
      <c r="O496" s="1186">
        <v>44.4</v>
      </c>
      <c r="P496" s="1186">
        <v>5.25</v>
      </c>
      <c r="Q496" s="1186">
        <v>36.799999999999997</v>
      </c>
      <c r="R496" s="1186">
        <v>2.2999999999999998</v>
      </c>
      <c r="S496" s="1186">
        <v>31.7</v>
      </c>
      <c r="T496" s="1186">
        <v>3.2</v>
      </c>
      <c r="U496" s="1186">
        <v>40.5</v>
      </c>
      <c r="V496" s="1186">
        <v>3.9</v>
      </c>
      <c r="W496" s="1186"/>
      <c r="X496" s="1186"/>
      <c r="Y496" s="1186"/>
      <c r="Z496" s="1186"/>
      <c r="AA496" s="1186"/>
      <c r="AB496" s="1186"/>
      <c r="AC496" s="1186"/>
      <c r="AD496" s="1187"/>
    </row>
    <row r="497" spans="1:30" x14ac:dyDescent="0.2">
      <c r="A497">
        <f t="shared" si="41"/>
        <v>14</v>
      </c>
      <c r="B497">
        <v>488</v>
      </c>
      <c r="C497" s="1078">
        <v>2</v>
      </c>
      <c r="D497" s="1077" t="s">
        <v>3606</v>
      </c>
      <c r="E497" s="1077" t="s">
        <v>5181</v>
      </c>
      <c r="F497" s="1185">
        <v>2</v>
      </c>
      <c r="G497" s="1186">
        <v>34.6</v>
      </c>
      <c r="H497" s="1186">
        <v>2.7</v>
      </c>
      <c r="I497" s="1186">
        <v>42.1</v>
      </c>
      <c r="J497" s="1186">
        <v>3.1</v>
      </c>
      <c r="K497" s="1186">
        <v>25.7</v>
      </c>
      <c r="L497" s="1186">
        <v>3.9</v>
      </c>
      <c r="M497" s="1186">
        <v>33.299999999999997</v>
      </c>
      <c r="N497" s="1186">
        <v>4.9000000000000004</v>
      </c>
      <c r="O497" s="1186">
        <v>42.5</v>
      </c>
      <c r="P497" s="1186">
        <v>6.4</v>
      </c>
      <c r="Q497" s="1186">
        <v>41.5</v>
      </c>
      <c r="R497" s="1186">
        <v>2.2999999999999998</v>
      </c>
      <c r="S497" s="1186">
        <v>31.8</v>
      </c>
      <c r="T497" s="1186">
        <v>3.4</v>
      </c>
      <c r="U497" s="1186">
        <v>37.9</v>
      </c>
      <c r="V497" s="1186">
        <v>4.2</v>
      </c>
      <c r="W497" s="1186"/>
      <c r="X497" s="1186"/>
      <c r="Y497" s="1186"/>
      <c r="Z497" s="1186"/>
      <c r="AA497" s="1186"/>
      <c r="AB497" s="1186"/>
      <c r="AC497" s="1186"/>
      <c r="AD497" s="1187"/>
    </row>
    <row r="498" spans="1:30" x14ac:dyDescent="0.2">
      <c r="A498">
        <f t="shared" si="41"/>
        <v>14</v>
      </c>
      <c r="B498">
        <v>489</v>
      </c>
      <c r="C498" s="1078">
        <v>2</v>
      </c>
      <c r="D498" s="1077" t="s">
        <v>3606</v>
      </c>
      <c r="E498" s="1077" t="s">
        <v>5312</v>
      </c>
      <c r="F498" s="1185">
        <v>2</v>
      </c>
      <c r="G498" s="1186">
        <v>7.95</v>
      </c>
      <c r="H498" s="1186">
        <v>2.52</v>
      </c>
      <c r="I498" s="1186">
        <v>11.04</v>
      </c>
      <c r="J498" s="1186">
        <v>3.28</v>
      </c>
      <c r="K498" s="1186">
        <v>7.2549999999999999</v>
      </c>
      <c r="L498" s="1186">
        <v>4.1900000000000004</v>
      </c>
      <c r="M498" s="1186">
        <v>8.266</v>
      </c>
      <c r="N498" s="1186">
        <v>4.8</v>
      </c>
      <c r="O498" s="1186">
        <v>11.04</v>
      </c>
      <c r="P498" s="1186">
        <v>6.56</v>
      </c>
      <c r="Q498" s="1186">
        <v>10.76</v>
      </c>
      <c r="R498" s="1186">
        <v>2.1800000000000002</v>
      </c>
      <c r="S498" s="1186">
        <v>7.74</v>
      </c>
      <c r="T498" s="1186">
        <v>3.11</v>
      </c>
      <c r="U498" s="1186">
        <v>9.6999999999999993</v>
      </c>
      <c r="V498" s="1186">
        <v>3.85</v>
      </c>
      <c r="W498" s="1186"/>
      <c r="X498" s="1186"/>
      <c r="Y498" s="1186"/>
      <c r="Z498" s="1186"/>
      <c r="AA498" s="1186"/>
      <c r="AB498" s="1186"/>
      <c r="AC498" s="1186"/>
      <c r="AD498" s="1187"/>
    </row>
    <row r="499" spans="1:30" x14ac:dyDescent="0.2">
      <c r="A499">
        <f t="shared" si="41"/>
        <v>14</v>
      </c>
      <c r="B499">
        <v>490</v>
      </c>
      <c r="C499" s="1078">
        <v>2</v>
      </c>
      <c r="D499" s="1077" t="s">
        <v>3606</v>
      </c>
      <c r="E499" s="1077" t="s">
        <v>5313</v>
      </c>
      <c r="F499" s="1185">
        <v>1</v>
      </c>
      <c r="G499" s="1186">
        <v>5.6</v>
      </c>
      <c r="H499" s="1186">
        <v>2.4</v>
      </c>
      <c r="I499" s="1186">
        <v>7.3</v>
      </c>
      <c r="J499" s="1186">
        <v>3.1</v>
      </c>
      <c r="K499" s="1186">
        <v>9.5</v>
      </c>
      <c r="L499" s="1186">
        <v>4</v>
      </c>
      <c r="M499" s="1186">
        <v>11.26</v>
      </c>
      <c r="N499" s="1186">
        <v>4.72</v>
      </c>
      <c r="O499" s="1186">
        <v>14.68</v>
      </c>
      <c r="P499" s="1186">
        <v>5.34</v>
      </c>
      <c r="Q499" s="1186">
        <v>7.23</v>
      </c>
      <c r="R499" s="1186">
        <v>2.1800000000000002</v>
      </c>
      <c r="S499" s="1186">
        <v>9.9700000000000006</v>
      </c>
      <c r="T499" s="1186">
        <v>2.96</v>
      </c>
      <c r="U499" s="1186">
        <v>13.1</v>
      </c>
      <c r="V499" s="1186">
        <v>3.93</v>
      </c>
      <c r="W499" s="1186"/>
      <c r="X499" s="1186"/>
      <c r="Y499" s="1186"/>
      <c r="Z499" s="1186"/>
      <c r="AA499" s="1186"/>
      <c r="AB499" s="1186"/>
      <c r="AC499" s="1186"/>
      <c r="AD499" s="1187"/>
    </row>
    <row r="500" spans="1:30" x14ac:dyDescent="0.2">
      <c r="A500">
        <f t="shared" si="41"/>
        <v>14</v>
      </c>
      <c r="B500">
        <v>491</v>
      </c>
      <c r="C500" s="1078">
        <v>3</v>
      </c>
      <c r="D500" s="1077" t="s">
        <v>3606</v>
      </c>
      <c r="E500" s="1077" t="s">
        <v>5314</v>
      </c>
      <c r="F500" s="1185">
        <v>2</v>
      </c>
      <c r="G500" s="1186">
        <v>11.39</v>
      </c>
      <c r="H500" s="1186">
        <v>2.67</v>
      </c>
      <c r="I500" s="1186">
        <v>13.89</v>
      </c>
      <c r="J500" s="1186">
        <v>3.11</v>
      </c>
      <c r="K500" s="1186">
        <v>15.86</v>
      </c>
      <c r="L500" s="1186">
        <v>3.7</v>
      </c>
      <c r="M500" s="1186">
        <v>11.67</v>
      </c>
      <c r="N500" s="1186">
        <v>5.04</v>
      </c>
      <c r="O500" s="1186">
        <v>13.57</v>
      </c>
      <c r="P500" s="1186">
        <v>5.93</v>
      </c>
      <c r="Q500" s="1186">
        <v>13.19</v>
      </c>
      <c r="R500" s="1186">
        <v>2.25</v>
      </c>
      <c r="S500" s="1186">
        <v>10.79</v>
      </c>
      <c r="T500" s="1186">
        <v>3.17</v>
      </c>
      <c r="U500" s="1186">
        <v>12.23</v>
      </c>
      <c r="V500" s="1186">
        <v>3.63</v>
      </c>
      <c r="W500" s="1186"/>
      <c r="X500" s="1186"/>
      <c r="Y500" s="1186"/>
      <c r="Z500" s="1186"/>
      <c r="AA500" s="1186"/>
      <c r="AB500" s="1186"/>
      <c r="AC500" s="1186"/>
      <c r="AD500" s="1187"/>
    </row>
    <row r="501" spans="1:30" x14ac:dyDescent="0.2">
      <c r="A501">
        <f t="shared" si="41"/>
        <v>14</v>
      </c>
      <c r="B501">
        <v>492</v>
      </c>
      <c r="C501" s="1078">
        <v>3</v>
      </c>
      <c r="D501" s="1077" t="s">
        <v>3606</v>
      </c>
      <c r="E501" s="1077" t="s">
        <v>5315</v>
      </c>
      <c r="F501" s="1185">
        <v>2</v>
      </c>
      <c r="G501" s="1186">
        <v>13.74</v>
      </c>
      <c r="H501" s="1186">
        <v>2.6</v>
      </c>
      <c r="I501" s="1186">
        <v>18.350000000000001</v>
      </c>
      <c r="J501" s="1186">
        <v>3.24</v>
      </c>
      <c r="K501" s="1186">
        <v>18.63</v>
      </c>
      <c r="L501" s="1186">
        <v>3.65</v>
      </c>
      <c r="M501" s="1186">
        <v>14.17</v>
      </c>
      <c r="N501" s="1186">
        <v>4.8099999999999996</v>
      </c>
      <c r="O501" s="1186">
        <v>17.989999999999998</v>
      </c>
      <c r="P501" s="1186">
        <v>6.2</v>
      </c>
      <c r="Q501" s="1186">
        <v>18.190000000000001</v>
      </c>
      <c r="R501" s="1186">
        <v>2.31</v>
      </c>
      <c r="S501" s="1186">
        <v>13.05</v>
      </c>
      <c r="T501" s="1186">
        <v>3.08</v>
      </c>
      <c r="U501" s="1186">
        <v>16.38</v>
      </c>
      <c r="V501" s="1186">
        <v>3.86</v>
      </c>
      <c r="W501" s="1186"/>
      <c r="X501" s="1186"/>
      <c r="Y501" s="1186"/>
      <c r="Z501" s="1186"/>
      <c r="AA501" s="1186"/>
      <c r="AB501" s="1186"/>
      <c r="AC501" s="1186"/>
      <c r="AD501" s="1187"/>
    </row>
    <row r="502" spans="1:30" x14ac:dyDescent="0.2">
      <c r="A502">
        <f t="shared" si="41"/>
        <v>14</v>
      </c>
      <c r="B502">
        <v>493</v>
      </c>
      <c r="C502" s="1078">
        <v>3</v>
      </c>
      <c r="D502" s="1077" t="s">
        <v>3606</v>
      </c>
      <c r="E502" s="1077" t="s">
        <v>5316</v>
      </c>
      <c r="F502" s="1185">
        <v>4</v>
      </c>
      <c r="G502" s="1186">
        <v>9.4</v>
      </c>
      <c r="H502" s="1186">
        <v>2.4</v>
      </c>
      <c r="I502" s="1186">
        <v>11.2</v>
      </c>
      <c r="J502" s="1186">
        <v>2.9</v>
      </c>
      <c r="K502" s="1186">
        <v>4.9000000000000004</v>
      </c>
      <c r="L502" s="1186">
        <v>4.5</v>
      </c>
      <c r="M502" s="1186">
        <v>4.6500000000000004</v>
      </c>
      <c r="N502" s="1186">
        <v>5.6</v>
      </c>
      <c r="O502" s="1186">
        <v>5.96</v>
      </c>
      <c r="P502" s="1186">
        <v>7.86</v>
      </c>
      <c r="Q502" s="1186">
        <v>10.14</v>
      </c>
      <c r="R502" s="1186">
        <v>2.0299999999999998</v>
      </c>
      <c r="S502" s="1186">
        <v>4</v>
      </c>
      <c r="T502" s="1186">
        <v>3.2</v>
      </c>
      <c r="U502" s="1186">
        <v>5.31</v>
      </c>
      <c r="V502" s="1186">
        <v>4.32</v>
      </c>
      <c r="W502" s="1186"/>
      <c r="X502" s="1186"/>
      <c r="Y502" s="1186"/>
      <c r="Z502" s="1186"/>
      <c r="AA502" s="1186"/>
      <c r="AB502" s="1186"/>
      <c r="AC502" s="1186"/>
      <c r="AD502" s="1187"/>
    </row>
    <row r="503" spans="1:30" x14ac:dyDescent="0.2">
      <c r="A503">
        <f t="shared" si="41"/>
        <v>14</v>
      </c>
      <c r="B503">
        <v>494</v>
      </c>
      <c r="C503" s="1078">
        <v>3</v>
      </c>
      <c r="D503" s="1077" t="s">
        <v>3606</v>
      </c>
      <c r="E503" s="1077" t="s">
        <v>5317</v>
      </c>
      <c r="F503" s="1185">
        <v>2</v>
      </c>
      <c r="G503" s="1186">
        <v>11.39</v>
      </c>
      <c r="H503" s="1186">
        <v>2.67</v>
      </c>
      <c r="I503" s="1186">
        <v>13.89</v>
      </c>
      <c r="J503" s="1186">
        <v>3.11</v>
      </c>
      <c r="K503" s="1186">
        <v>15.86</v>
      </c>
      <c r="L503" s="1186">
        <v>3.7</v>
      </c>
      <c r="M503" s="1186">
        <v>11.67</v>
      </c>
      <c r="N503" s="1186">
        <v>5.04</v>
      </c>
      <c r="O503" s="1186">
        <v>13.57</v>
      </c>
      <c r="P503" s="1186">
        <v>5.93</v>
      </c>
      <c r="Q503" s="1186">
        <v>13.19</v>
      </c>
      <c r="R503" s="1186">
        <v>2.25</v>
      </c>
      <c r="S503" s="1186">
        <v>10.79</v>
      </c>
      <c r="T503" s="1186">
        <v>3.17</v>
      </c>
      <c r="U503" s="1186">
        <v>12.23</v>
      </c>
      <c r="V503" s="1186">
        <v>3.63</v>
      </c>
      <c r="W503" s="1186"/>
      <c r="X503" s="1186"/>
      <c r="Y503" s="1186"/>
      <c r="Z503" s="1186"/>
      <c r="AA503" s="1186"/>
      <c r="AB503" s="1186"/>
      <c r="AC503" s="1186"/>
      <c r="AD503" s="1187"/>
    </row>
    <row r="504" spans="1:30" x14ac:dyDescent="0.2">
      <c r="A504">
        <f t="shared" si="41"/>
        <v>14</v>
      </c>
      <c r="B504">
        <v>495</v>
      </c>
      <c r="C504" s="1078">
        <v>2</v>
      </c>
      <c r="D504" s="1077" t="s">
        <v>3606</v>
      </c>
      <c r="E504" s="1077" t="s">
        <v>4819</v>
      </c>
      <c r="F504" s="1185">
        <v>4</v>
      </c>
      <c r="G504" s="1186">
        <v>3.2</v>
      </c>
      <c r="H504" s="1186">
        <v>2.5</v>
      </c>
      <c r="I504" s="1186">
        <v>6</v>
      </c>
      <c r="J504" s="1186">
        <v>3.03</v>
      </c>
      <c r="K504" s="1186">
        <v>4.2</v>
      </c>
      <c r="L504" s="1186">
        <v>4.16</v>
      </c>
      <c r="M504" s="1186">
        <v>4.7</v>
      </c>
      <c r="N504" s="1186">
        <v>4.76</v>
      </c>
      <c r="O504" s="1186">
        <v>6.5</v>
      </c>
      <c r="P504" s="1186">
        <v>6.4</v>
      </c>
      <c r="Q504" s="1186">
        <v>5.66</v>
      </c>
      <c r="R504" s="1186">
        <v>2</v>
      </c>
      <c r="S504" s="1186">
        <v>5.4</v>
      </c>
      <c r="T504" s="1186">
        <v>2.92</v>
      </c>
      <c r="U504" s="1186">
        <v>6.88</v>
      </c>
      <c r="V504" s="1186">
        <v>3.25</v>
      </c>
      <c r="W504" s="1186"/>
      <c r="X504" s="1186"/>
      <c r="Y504" s="1186"/>
      <c r="Z504" s="1186"/>
      <c r="AA504" s="1186"/>
      <c r="AB504" s="1186"/>
      <c r="AC504" s="1186"/>
      <c r="AD504" s="1187"/>
    </row>
    <row r="505" spans="1:30" x14ac:dyDescent="0.2">
      <c r="A505">
        <f t="shared" si="41"/>
        <v>14</v>
      </c>
      <c r="B505">
        <v>496</v>
      </c>
      <c r="C505" s="1078">
        <v>2</v>
      </c>
      <c r="D505" s="1077" t="s">
        <v>3606</v>
      </c>
      <c r="E505" s="1077" t="s">
        <v>4820</v>
      </c>
      <c r="F505" s="1185">
        <v>4</v>
      </c>
      <c r="G505" s="1186">
        <v>7.6</v>
      </c>
      <c r="H505" s="1186">
        <v>2.4</v>
      </c>
      <c r="I505" s="1186">
        <v>9.4</v>
      </c>
      <c r="J505" s="1186">
        <v>3.03</v>
      </c>
      <c r="K505" s="1186">
        <v>6.5</v>
      </c>
      <c r="L505" s="1186">
        <v>4.33</v>
      </c>
      <c r="M505" s="1186">
        <v>6.9</v>
      </c>
      <c r="N505" s="1186">
        <v>4.96</v>
      </c>
      <c r="O505" s="1186">
        <v>8.3000000000000007</v>
      </c>
      <c r="P505" s="1186">
        <v>6.2</v>
      </c>
      <c r="Q505" s="1186">
        <v>8.81</v>
      </c>
      <c r="R505" s="1186">
        <v>1.87</v>
      </c>
      <c r="S505" s="1186">
        <v>6.94</v>
      </c>
      <c r="T505" s="1186">
        <v>3.01</v>
      </c>
      <c r="U505" s="1186">
        <v>13.83</v>
      </c>
      <c r="V505" s="1186">
        <v>3.38</v>
      </c>
      <c r="W505" s="1186"/>
      <c r="X505" s="1186"/>
      <c r="Y505" s="1186"/>
      <c r="Z505" s="1186"/>
      <c r="AA505" s="1186"/>
      <c r="AB505" s="1186"/>
      <c r="AC505" s="1186"/>
      <c r="AD505" s="1187"/>
    </row>
    <row r="506" spans="1:30" x14ac:dyDescent="0.2">
      <c r="A506">
        <f t="shared" si="41"/>
        <v>14</v>
      </c>
      <c r="B506">
        <v>497</v>
      </c>
      <c r="C506" s="1078">
        <v>3</v>
      </c>
      <c r="D506" s="1077" t="s">
        <v>3606</v>
      </c>
      <c r="E506" s="1077" t="s">
        <v>4109</v>
      </c>
      <c r="F506" s="1185">
        <v>1</v>
      </c>
      <c r="G506" s="1186"/>
      <c r="H506" s="1186"/>
      <c r="I506" s="1186"/>
      <c r="J506" s="1186"/>
      <c r="K506" s="1186"/>
      <c r="L506" s="1186"/>
      <c r="M506" s="1186"/>
      <c r="N506" s="1186"/>
      <c r="O506" s="1186"/>
      <c r="P506" s="1186"/>
      <c r="Q506" s="1186"/>
      <c r="R506" s="1186"/>
      <c r="S506" s="1186"/>
      <c r="T506" s="1186"/>
      <c r="U506" s="1186"/>
      <c r="V506" s="1186"/>
      <c r="W506" s="1186">
        <v>5.8</v>
      </c>
      <c r="X506" s="1186">
        <v>4.7</v>
      </c>
      <c r="Y506" s="1186">
        <v>5.4</v>
      </c>
      <c r="Z506" s="1186">
        <v>2.9</v>
      </c>
      <c r="AA506" s="1186"/>
      <c r="AB506" s="1186"/>
      <c r="AC506" s="1186"/>
      <c r="AD506" s="1187"/>
    </row>
    <row r="507" spans="1:30" x14ac:dyDescent="0.2">
      <c r="A507">
        <f t="shared" si="41"/>
        <v>14</v>
      </c>
      <c r="B507">
        <v>498</v>
      </c>
      <c r="C507" s="1078">
        <v>3</v>
      </c>
      <c r="D507" s="1077" t="s">
        <v>3606</v>
      </c>
      <c r="E507" s="1077" t="s">
        <v>4110</v>
      </c>
      <c r="F507" s="1185">
        <v>1</v>
      </c>
      <c r="G507" s="1186"/>
      <c r="H507" s="1186"/>
      <c r="I507" s="1186"/>
      <c r="J507" s="1186"/>
      <c r="K507" s="1186"/>
      <c r="L507" s="1186"/>
      <c r="M507" s="1186"/>
      <c r="N507" s="1186"/>
      <c r="O507" s="1186"/>
      <c r="P507" s="1186"/>
      <c r="Q507" s="1186"/>
      <c r="R507" s="1186"/>
      <c r="S507" s="1186"/>
      <c r="T507" s="1186"/>
      <c r="U507" s="1186"/>
      <c r="V507" s="1186"/>
      <c r="W507" s="1186">
        <v>5.8</v>
      </c>
      <c r="X507" s="1186">
        <v>4.7</v>
      </c>
      <c r="Y507" s="1186">
        <v>5.4</v>
      </c>
      <c r="Z507" s="1186">
        <v>2.9</v>
      </c>
      <c r="AA507" s="1186"/>
      <c r="AB507" s="1186"/>
      <c r="AC507" s="1186"/>
      <c r="AD507" s="1187"/>
    </row>
    <row r="508" spans="1:30" x14ac:dyDescent="0.2">
      <c r="A508">
        <f t="shared" si="41"/>
        <v>14</v>
      </c>
      <c r="B508">
        <v>499</v>
      </c>
      <c r="C508" s="1081">
        <v>3</v>
      </c>
      <c r="D508" s="1082" t="s">
        <v>3606</v>
      </c>
      <c r="E508" s="1082" t="s">
        <v>4111</v>
      </c>
      <c r="F508" s="1188">
        <v>1</v>
      </c>
      <c r="G508" s="1189"/>
      <c r="H508" s="1189"/>
      <c r="I508" s="1189"/>
      <c r="J508" s="1189"/>
      <c r="K508" s="1189"/>
      <c r="L508" s="1189"/>
      <c r="M508" s="1189"/>
      <c r="N508" s="1189"/>
      <c r="O508" s="1189"/>
      <c r="P508" s="1189"/>
      <c r="Q508" s="1189"/>
      <c r="R508" s="1189"/>
      <c r="S508" s="1189"/>
      <c r="T508" s="1189"/>
      <c r="U508" s="1189"/>
      <c r="V508" s="1189"/>
      <c r="W508" s="1189">
        <v>6.1</v>
      </c>
      <c r="X508" s="1189">
        <v>4.7</v>
      </c>
      <c r="Y508" s="1189">
        <v>5.5</v>
      </c>
      <c r="Z508" s="1189">
        <v>2.8</v>
      </c>
      <c r="AA508" s="1189"/>
      <c r="AB508" s="1189"/>
      <c r="AC508" s="1189"/>
      <c r="AD508" s="1194"/>
    </row>
    <row r="509" spans="1:30" x14ac:dyDescent="0.2">
      <c r="A509">
        <f t="shared" si="41"/>
        <v>14</v>
      </c>
      <c r="B509">
        <v>500</v>
      </c>
      <c r="C509" s="1190">
        <v>3</v>
      </c>
      <c r="D509" s="1191" t="s">
        <v>3606</v>
      </c>
      <c r="E509" s="1191" t="s">
        <v>4112</v>
      </c>
      <c r="F509" s="1192">
        <v>1</v>
      </c>
      <c r="G509" s="1193"/>
      <c r="H509" s="1193"/>
      <c r="I509" s="1193"/>
      <c r="J509" s="1193"/>
      <c r="K509" s="1193"/>
      <c r="L509" s="1193"/>
      <c r="M509" s="1193"/>
      <c r="N509" s="1193"/>
      <c r="O509" s="1193"/>
      <c r="P509" s="1193"/>
      <c r="Q509" s="1193"/>
      <c r="R509" s="1193"/>
      <c r="S509" s="1193"/>
      <c r="T509" s="1193"/>
      <c r="U509" s="1193"/>
      <c r="V509" s="1193"/>
      <c r="W509" s="1193">
        <v>6.4</v>
      </c>
      <c r="X509" s="1193">
        <v>4.4000000000000004</v>
      </c>
      <c r="Y509" s="1193">
        <v>5.9</v>
      </c>
      <c r="Z509" s="1193">
        <v>2.8</v>
      </c>
      <c r="AA509" s="1193"/>
      <c r="AB509" s="1193"/>
      <c r="AC509" s="1193"/>
      <c r="AD509" s="1195"/>
    </row>
    <row r="510" spans="1:30" x14ac:dyDescent="0.2">
      <c r="A510">
        <f t="shared" si="41"/>
        <v>14</v>
      </c>
      <c r="B510">
        <v>501</v>
      </c>
      <c r="C510" s="1078">
        <v>3</v>
      </c>
      <c r="D510" s="1077" t="s">
        <v>3606</v>
      </c>
      <c r="E510" s="1077" t="s">
        <v>4113</v>
      </c>
      <c r="F510" s="1185">
        <v>1</v>
      </c>
      <c r="G510" s="1186"/>
      <c r="H510" s="1186"/>
      <c r="I510" s="1186"/>
      <c r="J510" s="1186"/>
      <c r="K510" s="1186"/>
      <c r="L510" s="1186"/>
      <c r="M510" s="1186"/>
      <c r="N510" s="1186"/>
      <c r="O510" s="1186"/>
      <c r="P510" s="1186"/>
      <c r="Q510" s="1186"/>
      <c r="R510" s="1186"/>
      <c r="S510" s="1186"/>
      <c r="T510" s="1186"/>
      <c r="U510" s="1186"/>
      <c r="V510" s="1186"/>
      <c r="W510" s="1186">
        <v>7.8</v>
      </c>
      <c r="X510" s="1186">
        <v>4.8</v>
      </c>
      <c r="Y510" s="1186">
        <v>7.1</v>
      </c>
      <c r="Z510" s="1186">
        <v>2.9</v>
      </c>
      <c r="AA510" s="1186"/>
      <c r="AB510" s="1186"/>
      <c r="AC510" s="1186"/>
      <c r="AD510" s="1187"/>
    </row>
    <row r="511" spans="1:30" x14ac:dyDescent="0.2">
      <c r="A511">
        <f t="shared" si="41"/>
        <v>14</v>
      </c>
      <c r="B511">
        <v>502</v>
      </c>
      <c r="C511" s="1078">
        <v>3</v>
      </c>
      <c r="D511" s="1077" t="s">
        <v>3606</v>
      </c>
      <c r="E511" s="1077" t="s">
        <v>4114</v>
      </c>
      <c r="F511" s="1185">
        <v>1</v>
      </c>
      <c r="G511" s="1186"/>
      <c r="H511" s="1186"/>
      <c r="I511" s="1186"/>
      <c r="J511" s="1186"/>
      <c r="K511" s="1186"/>
      <c r="L511" s="1186"/>
      <c r="M511" s="1186"/>
      <c r="N511" s="1186"/>
      <c r="O511" s="1186"/>
      <c r="P511" s="1186"/>
      <c r="Q511" s="1186"/>
      <c r="R511" s="1186"/>
      <c r="S511" s="1186"/>
      <c r="T511" s="1186"/>
      <c r="U511" s="1186"/>
      <c r="V511" s="1186"/>
      <c r="W511" s="1186">
        <v>7.8</v>
      </c>
      <c r="X511" s="1186">
        <v>4.8</v>
      </c>
      <c r="Y511" s="1186">
        <v>7.1</v>
      </c>
      <c r="Z511" s="1186">
        <v>2.9</v>
      </c>
      <c r="AA511" s="1186"/>
      <c r="AB511" s="1186"/>
      <c r="AC511" s="1186"/>
      <c r="AD511" s="1187"/>
    </row>
    <row r="512" spans="1:30" x14ac:dyDescent="0.2">
      <c r="A512">
        <f t="shared" si="41"/>
        <v>14</v>
      </c>
      <c r="B512">
        <v>503</v>
      </c>
      <c r="C512" s="1078">
        <v>3</v>
      </c>
      <c r="D512" s="1077" t="s">
        <v>3606</v>
      </c>
      <c r="E512" s="1077" t="s">
        <v>4115</v>
      </c>
      <c r="F512" s="1185">
        <v>1</v>
      </c>
      <c r="G512" s="1186"/>
      <c r="H512" s="1186"/>
      <c r="I512" s="1186"/>
      <c r="J512" s="1186"/>
      <c r="K512" s="1186"/>
      <c r="L512" s="1186"/>
      <c r="M512" s="1186"/>
      <c r="N512" s="1186"/>
      <c r="O512" s="1186"/>
      <c r="P512" s="1186"/>
      <c r="Q512" s="1186"/>
      <c r="R512" s="1186"/>
      <c r="S512" s="1186"/>
      <c r="T512" s="1186"/>
      <c r="U512" s="1186"/>
      <c r="V512" s="1186"/>
      <c r="W512" s="1186">
        <v>8.1</v>
      </c>
      <c r="X512" s="1186">
        <v>4.8</v>
      </c>
      <c r="Y512" s="1186">
        <v>7.1</v>
      </c>
      <c r="Z512" s="1186">
        <v>2.8</v>
      </c>
      <c r="AA512" s="1186"/>
      <c r="AB512" s="1186"/>
      <c r="AC512" s="1186"/>
      <c r="AD512" s="1187"/>
    </row>
    <row r="513" spans="1:30" x14ac:dyDescent="0.2">
      <c r="A513">
        <f t="shared" si="41"/>
        <v>14</v>
      </c>
      <c r="B513">
        <v>504</v>
      </c>
      <c r="C513" s="1078">
        <v>3</v>
      </c>
      <c r="D513" s="1077" t="s">
        <v>3606</v>
      </c>
      <c r="E513" s="1077" t="s">
        <v>4116</v>
      </c>
      <c r="F513" s="1185">
        <v>1</v>
      </c>
      <c r="G513" s="1186"/>
      <c r="H513" s="1186"/>
      <c r="I513" s="1186"/>
      <c r="J513" s="1186"/>
      <c r="K513" s="1186"/>
      <c r="L513" s="1186"/>
      <c r="M513" s="1186"/>
      <c r="N513" s="1186"/>
      <c r="O513" s="1186"/>
      <c r="P513" s="1186"/>
      <c r="Q513" s="1186"/>
      <c r="R513" s="1186"/>
      <c r="S513" s="1186"/>
      <c r="T513" s="1186"/>
      <c r="U513" s="1186"/>
      <c r="V513" s="1186"/>
      <c r="W513" s="1186">
        <v>9.1</v>
      </c>
      <c r="X513" s="1186">
        <v>4.4000000000000004</v>
      </c>
      <c r="Y513" s="1186">
        <v>8.6</v>
      </c>
      <c r="Z513" s="1186">
        <v>2.8</v>
      </c>
      <c r="AA513" s="1186"/>
      <c r="AB513" s="1186"/>
      <c r="AC513" s="1186"/>
      <c r="AD513" s="1187"/>
    </row>
    <row r="514" spans="1:30" x14ac:dyDescent="0.2">
      <c r="A514">
        <f t="shared" si="41"/>
        <v>14</v>
      </c>
      <c r="B514">
        <v>505</v>
      </c>
      <c r="C514" s="1078">
        <v>3</v>
      </c>
      <c r="D514" s="1077" t="s">
        <v>3606</v>
      </c>
      <c r="E514" s="1077" t="s">
        <v>4117</v>
      </c>
      <c r="F514" s="1185">
        <v>1</v>
      </c>
      <c r="G514" s="1186"/>
      <c r="H514" s="1186"/>
      <c r="I514" s="1186"/>
      <c r="J514" s="1186"/>
      <c r="K514" s="1186"/>
      <c r="L514" s="1186"/>
      <c r="M514" s="1186"/>
      <c r="N514" s="1186"/>
      <c r="O514" s="1186"/>
      <c r="P514" s="1186"/>
      <c r="Q514" s="1186"/>
      <c r="R514" s="1186"/>
      <c r="S514" s="1186"/>
      <c r="T514" s="1186"/>
      <c r="U514" s="1186"/>
      <c r="V514" s="1186"/>
      <c r="W514" s="1186">
        <v>10.6</v>
      </c>
      <c r="X514" s="1186">
        <v>5</v>
      </c>
      <c r="Y514" s="1186">
        <v>9.8000000000000007</v>
      </c>
      <c r="Z514" s="1186">
        <v>3.1</v>
      </c>
      <c r="AA514" s="1186"/>
      <c r="AB514" s="1186"/>
      <c r="AC514" s="1186"/>
      <c r="AD514" s="1187"/>
    </row>
    <row r="515" spans="1:30" x14ac:dyDescent="0.2">
      <c r="A515">
        <f t="shared" si="41"/>
        <v>14</v>
      </c>
      <c r="B515">
        <v>506</v>
      </c>
      <c r="C515" s="1078">
        <v>3</v>
      </c>
      <c r="D515" s="1077" t="s">
        <v>3606</v>
      </c>
      <c r="E515" s="1077" t="s">
        <v>4118</v>
      </c>
      <c r="F515" s="1185">
        <v>1</v>
      </c>
      <c r="G515" s="1186"/>
      <c r="H515" s="1186"/>
      <c r="I515" s="1186"/>
      <c r="J515" s="1186"/>
      <c r="K515" s="1186"/>
      <c r="L515" s="1186"/>
      <c r="M515" s="1186"/>
      <c r="N515" s="1186"/>
      <c r="O515" s="1186"/>
      <c r="P515" s="1186"/>
      <c r="Q515" s="1186"/>
      <c r="R515" s="1186"/>
      <c r="S515" s="1186"/>
      <c r="T515" s="1186"/>
      <c r="U515" s="1186"/>
      <c r="V515" s="1186"/>
      <c r="W515" s="1186">
        <v>10.6</v>
      </c>
      <c r="X515" s="1186">
        <v>5</v>
      </c>
      <c r="Y515" s="1186">
        <v>9.8000000000000007</v>
      </c>
      <c r="Z515" s="1186">
        <v>3.1</v>
      </c>
      <c r="AA515" s="1186"/>
      <c r="AB515" s="1186"/>
      <c r="AC515" s="1186"/>
      <c r="AD515" s="1187"/>
    </row>
    <row r="516" spans="1:30" x14ac:dyDescent="0.2">
      <c r="A516">
        <f t="shared" si="41"/>
        <v>14</v>
      </c>
      <c r="B516">
        <v>507</v>
      </c>
      <c r="C516" s="1078">
        <v>3</v>
      </c>
      <c r="D516" s="1077" t="s">
        <v>3606</v>
      </c>
      <c r="E516" s="1077" t="s">
        <v>4119</v>
      </c>
      <c r="F516" s="1185">
        <v>1</v>
      </c>
      <c r="G516" s="1186"/>
      <c r="H516" s="1186"/>
      <c r="I516" s="1186"/>
      <c r="J516" s="1186"/>
      <c r="K516" s="1186"/>
      <c r="L516" s="1186"/>
      <c r="M516" s="1186"/>
      <c r="N516" s="1186"/>
      <c r="O516" s="1186"/>
      <c r="P516" s="1186"/>
      <c r="Q516" s="1186"/>
      <c r="R516" s="1186"/>
      <c r="S516" s="1186"/>
      <c r="T516" s="1186"/>
      <c r="U516" s="1186"/>
      <c r="V516" s="1186"/>
      <c r="W516" s="1186">
        <v>10.9</v>
      </c>
      <c r="X516" s="1186">
        <v>4.9000000000000004</v>
      </c>
      <c r="Y516" s="1186">
        <v>10</v>
      </c>
      <c r="Z516" s="1186">
        <v>2.9</v>
      </c>
      <c r="AA516" s="1186"/>
      <c r="AB516" s="1186"/>
      <c r="AC516" s="1186"/>
      <c r="AD516" s="1187"/>
    </row>
    <row r="517" spans="1:30" x14ac:dyDescent="0.2">
      <c r="A517">
        <f t="shared" si="41"/>
        <v>14</v>
      </c>
      <c r="B517">
        <v>508</v>
      </c>
      <c r="C517" s="1078">
        <v>3</v>
      </c>
      <c r="D517" s="1077" t="s">
        <v>3606</v>
      </c>
      <c r="E517" s="1077" t="s">
        <v>4120</v>
      </c>
      <c r="F517" s="1185">
        <v>1</v>
      </c>
      <c r="G517" s="1186"/>
      <c r="H517" s="1186"/>
      <c r="I517" s="1186"/>
      <c r="J517" s="1186"/>
      <c r="K517" s="1186"/>
      <c r="L517" s="1186"/>
      <c r="M517" s="1186"/>
      <c r="N517" s="1186"/>
      <c r="O517" s="1186"/>
      <c r="P517" s="1186"/>
      <c r="Q517" s="1186"/>
      <c r="R517" s="1186"/>
      <c r="S517" s="1186"/>
      <c r="T517" s="1186"/>
      <c r="U517" s="1186"/>
      <c r="V517" s="1186"/>
      <c r="W517" s="1186">
        <v>10.9</v>
      </c>
      <c r="X517" s="1186">
        <v>4.5</v>
      </c>
      <c r="Y517" s="1186">
        <v>10.4</v>
      </c>
      <c r="Z517" s="1186">
        <v>2.9</v>
      </c>
      <c r="AA517" s="1186"/>
      <c r="AB517" s="1186"/>
      <c r="AC517" s="1186"/>
      <c r="AD517" s="1187"/>
    </row>
    <row r="518" spans="1:30" x14ac:dyDescent="0.2">
      <c r="A518">
        <f t="shared" si="41"/>
        <v>14</v>
      </c>
      <c r="B518">
        <v>509</v>
      </c>
      <c r="C518" s="1078">
        <v>3</v>
      </c>
      <c r="D518" s="1077" t="s">
        <v>3606</v>
      </c>
      <c r="E518" s="1077" t="s">
        <v>4121</v>
      </c>
      <c r="F518" s="1185">
        <v>1</v>
      </c>
      <c r="G518" s="1186"/>
      <c r="H518" s="1186"/>
      <c r="I518" s="1186"/>
      <c r="J518" s="1186"/>
      <c r="K518" s="1186"/>
      <c r="L518" s="1186"/>
      <c r="M518" s="1186"/>
      <c r="N518" s="1186"/>
      <c r="O518" s="1186"/>
      <c r="P518" s="1186"/>
      <c r="Q518" s="1186"/>
      <c r="R518" s="1186"/>
      <c r="S518" s="1186"/>
      <c r="T518" s="1186"/>
      <c r="U518" s="1186"/>
      <c r="V518" s="1186"/>
      <c r="W518" s="1186">
        <v>13.1</v>
      </c>
      <c r="X518" s="1186">
        <v>4.7</v>
      </c>
      <c r="Y518" s="1186">
        <v>12.2</v>
      </c>
      <c r="Z518" s="1186">
        <v>3</v>
      </c>
      <c r="AA518" s="1186"/>
      <c r="AB518" s="1186"/>
      <c r="AC518" s="1186"/>
      <c r="AD518" s="1187"/>
    </row>
    <row r="519" spans="1:30" x14ac:dyDescent="0.2">
      <c r="A519">
        <f t="shared" si="41"/>
        <v>14</v>
      </c>
      <c r="B519">
        <v>510</v>
      </c>
      <c r="C519" s="1078">
        <v>3</v>
      </c>
      <c r="D519" s="1077" t="s">
        <v>3606</v>
      </c>
      <c r="E519" s="1077" t="s">
        <v>4122</v>
      </c>
      <c r="F519" s="1185">
        <v>1</v>
      </c>
      <c r="G519" s="1186"/>
      <c r="H519" s="1186"/>
      <c r="I519" s="1186"/>
      <c r="J519" s="1186"/>
      <c r="K519" s="1186"/>
      <c r="L519" s="1186"/>
      <c r="M519" s="1186"/>
      <c r="N519" s="1186"/>
      <c r="O519" s="1186"/>
      <c r="P519" s="1186"/>
      <c r="Q519" s="1186"/>
      <c r="R519" s="1186"/>
      <c r="S519" s="1186"/>
      <c r="T519" s="1186"/>
      <c r="U519" s="1186"/>
      <c r="V519" s="1186"/>
      <c r="W519" s="1186">
        <v>13.9</v>
      </c>
      <c r="X519" s="1186">
        <v>5</v>
      </c>
      <c r="Y519" s="1186">
        <v>12.7</v>
      </c>
      <c r="Z519" s="1186">
        <v>3</v>
      </c>
      <c r="AA519" s="1186"/>
      <c r="AB519" s="1186"/>
      <c r="AC519" s="1186"/>
      <c r="AD519" s="1187"/>
    </row>
    <row r="520" spans="1:30" x14ac:dyDescent="0.2">
      <c r="A520">
        <f t="shared" si="41"/>
        <v>14</v>
      </c>
      <c r="B520">
        <v>511</v>
      </c>
      <c r="C520" s="1078">
        <v>3</v>
      </c>
      <c r="D520" s="1077" t="s">
        <v>3606</v>
      </c>
      <c r="E520" s="1077" t="s">
        <v>4122</v>
      </c>
      <c r="F520" s="1185">
        <v>1</v>
      </c>
      <c r="G520" s="1186"/>
      <c r="H520" s="1186"/>
      <c r="I520" s="1186"/>
      <c r="J520" s="1186"/>
      <c r="K520" s="1186"/>
      <c r="L520" s="1186"/>
      <c r="M520" s="1186"/>
      <c r="N520" s="1186"/>
      <c r="O520" s="1186"/>
      <c r="P520" s="1186"/>
      <c r="Q520" s="1186"/>
      <c r="R520" s="1186"/>
      <c r="S520" s="1186"/>
      <c r="T520" s="1186"/>
      <c r="U520" s="1186"/>
      <c r="V520" s="1186"/>
      <c r="W520" s="1186">
        <v>14</v>
      </c>
      <c r="X520" s="1186">
        <v>5</v>
      </c>
      <c r="Y520" s="1186">
        <v>12.7</v>
      </c>
      <c r="Z520" s="1186">
        <v>3</v>
      </c>
      <c r="AA520" s="1186"/>
      <c r="AB520" s="1186"/>
      <c r="AC520" s="1186"/>
      <c r="AD520" s="1187"/>
    </row>
    <row r="521" spans="1:30" x14ac:dyDescent="0.2">
      <c r="A521">
        <f t="shared" si="41"/>
        <v>14</v>
      </c>
      <c r="B521">
        <v>512</v>
      </c>
      <c r="C521" s="1078">
        <v>3</v>
      </c>
      <c r="D521" s="1077" t="s">
        <v>3606</v>
      </c>
      <c r="E521" s="1077" t="s">
        <v>4123</v>
      </c>
      <c r="F521" s="1185">
        <v>1</v>
      </c>
      <c r="G521" s="1186"/>
      <c r="H521" s="1186"/>
      <c r="I521" s="1186"/>
      <c r="J521" s="1186"/>
      <c r="K521" s="1186"/>
      <c r="L521" s="1186"/>
      <c r="M521" s="1186"/>
      <c r="N521" s="1186"/>
      <c r="O521" s="1186"/>
      <c r="P521" s="1186"/>
      <c r="Q521" s="1186"/>
      <c r="R521" s="1186"/>
      <c r="S521" s="1186"/>
      <c r="T521" s="1186"/>
      <c r="U521" s="1186"/>
      <c r="V521" s="1186"/>
      <c r="W521" s="1186">
        <v>17.5</v>
      </c>
      <c r="X521" s="1186">
        <v>4.7</v>
      </c>
      <c r="Y521" s="1186">
        <v>16.5</v>
      </c>
      <c r="Z521" s="1186">
        <v>2.9</v>
      </c>
      <c r="AA521" s="1186"/>
      <c r="AB521" s="1186"/>
      <c r="AC521" s="1186"/>
      <c r="AD521" s="1187"/>
    </row>
    <row r="522" spans="1:30" x14ac:dyDescent="0.2">
      <c r="A522">
        <f t="shared" si="41"/>
        <v>14</v>
      </c>
      <c r="B522">
        <v>513</v>
      </c>
      <c r="C522" s="1078">
        <v>3</v>
      </c>
      <c r="D522" s="1077" t="s">
        <v>3606</v>
      </c>
      <c r="E522" s="1077" t="s">
        <v>4124</v>
      </c>
      <c r="F522" s="1185">
        <v>3</v>
      </c>
      <c r="G522" s="1186"/>
      <c r="H522" s="1186"/>
      <c r="I522" s="1186"/>
      <c r="J522" s="1186"/>
      <c r="K522" s="1186"/>
      <c r="L522" s="1186"/>
      <c r="M522" s="1186"/>
      <c r="N522" s="1186"/>
      <c r="O522" s="1186"/>
      <c r="P522" s="1186"/>
      <c r="Q522" s="1186"/>
      <c r="R522" s="1186"/>
      <c r="S522" s="1186"/>
      <c r="T522" s="1186"/>
      <c r="U522" s="1186"/>
      <c r="V522" s="1186"/>
      <c r="W522" s="1186">
        <v>21.3</v>
      </c>
      <c r="X522" s="1186">
        <v>4.4000000000000004</v>
      </c>
      <c r="Y522" s="1186">
        <v>20.399999999999999</v>
      </c>
      <c r="Z522" s="1186">
        <v>2.8</v>
      </c>
      <c r="AA522" s="1186"/>
      <c r="AB522" s="1186"/>
      <c r="AC522" s="1186"/>
      <c r="AD522" s="1187"/>
    </row>
    <row r="523" spans="1:30" x14ac:dyDescent="0.2">
      <c r="A523">
        <f t="shared" si="41"/>
        <v>14</v>
      </c>
      <c r="B523">
        <v>514</v>
      </c>
      <c r="C523" s="1078">
        <v>3</v>
      </c>
      <c r="D523" s="1077" t="s">
        <v>3606</v>
      </c>
      <c r="E523" s="1077" t="s">
        <v>4125</v>
      </c>
      <c r="F523" s="1185">
        <v>3</v>
      </c>
      <c r="G523" s="1186"/>
      <c r="H523" s="1186"/>
      <c r="I523" s="1186"/>
      <c r="J523" s="1186"/>
      <c r="K523" s="1186"/>
      <c r="L523" s="1186"/>
      <c r="M523" s="1186"/>
      <c r="N523" s="1186"/>
      <c r="O523" s="1186"/>
      <c r="P523" s="1186"/>
      <c r="Q523" s="1186"/>
      <c r="R523" s="1186"/>
      <c r="S523" s="1186"/>
      <c r="T523" s="1186"/>
      <c r="U523" s="1186"/>
      <c r="V523" s="1186"/>
      <c r="W523" s="1186">
        <v>26.7</v>
      </c>
      <c r="X523" s="1186">
        <v>4.9000000000000004</v>
      </c>
      <c r="Y523" s="1186">
        <v>24.7</v>
      </c>
      <c r="Z523" s="1186">
        <v>3.1</v>
      </c>
      <c r="AA523" s="1186"/>
      <c r="AB523" s="1186"/>
      <c r="AC523" s="1186"/>
      <c r="AD523" s="1187"/>
    </row>
    <row r="524" spans="1:30" x14ac:dyDescent="0.2">
      <c r="A524">
        <f t="shared" ref="A524:A587" si="42">A523+(D524&lt;&gt;D523)*1</f>
        <v>14</v>
      </c>
      <c r="B524">
        <v>515</v>
      </c>
      <c r="C524" s="1078">
        <v>3</v>
      </c>
      <c r="D524" s="1077" t="s">
        <v>3606</v>
      </c>
      <c r="E524" s="1077" t="s">
        <v>4126</v>
      </c>
      <c r="F524" s="1185">
        <v>3</v>
      </c>
      <c r="G524" s="1186"/>
      <c r="H524" s="1186"/>
      <c r="I524" s="1186"/>
      <c r="J524" s="1186"/>
      <c r="K524" s="1186"/>
      <c r="L524" s="1186"/>
      <c r="M524" s="1186"/>
      <c r="N524" s="1186"/>
      <c r="O524" s="1186"/>
      <c r="P524" s="1186"/>
      <c r="Q524" s="1186"/>
      <c r="R524" s="1186"/>
      <c r="S524" s="1186"/>
      <c r="T524" s="1186"/>
      <c r="U524" s="1186"/>
      <c r="V524" s="1186"/>
      <c r="W524" s="1186">
        <v>34.799999999999997</v>
      </c>
      <c r="X524" s="1186">
        <v>4.8</v>
      </c>
      <c r="Y524" s="1186">
        <v>32.1</v>
      </c>
      <c r="Z524" s="1186">
        <v>3</v>
      </c>
      <c r="AA524" s="1186"/>
      <c r="AB524" s="1186"/>
      <c r="AC524" s="1186"/>
      <c r="AD524" s="1187"/>
    </row>
    <row r="525" spans="1:30" x14ac:dyDescent="0.2">
      <c r="A525">
        <f t="shared" si="42"/>
        <v>14</v>
      </c>
      <c r="B525">
        <v>516</v>
      </c>
      <c r="C525" s="1078">
        <v>3</v>
      </c>
      <c r="D525" s="1077" t="s">
        <v>3606</v>
      </c>
      <c r="E525" s="1077" t="s">
        <v>4127</v>
      </c>
      <c r="F525" s="1185">
        <v>3</v>
      </c>
      <c r="G525" s="1186"/>
      <c r="H525" s="1186"/>
      <c r="I525" s="1186"/>
      <c r="J525" s="1186"/>
      <c r="K525" s="1186"/>
      <c r="L525" s="1186"/>
      <c r="M525" s="1186"/>
      <c r="N525" s="1186"/>
      <c r="O525" s="1186"/>
      <c r="P525" s="1186"/>
      <c r="Q525" s="1186"/>
      <c r="R525" s="1186"/>
      <c r="S525" s="1186"/>
      <c r="T525" s="1186"/>
      <c r="U525" s="1186"/>
      <c r="V525" s="1186"/>
      <c r="W525" s="1186">
        <v>52</v>
      </c>
      <c r="X525" s="1186">
        <v>5</v>
      </c>
      <c r="Y525" s="1186">
        <v>44.1</v>
      </c>
      <c r="Z525" s="1186">
        <v>2.8</v>
      </c>
      <c r="AA525" s="1186"/>
      <c r="AB525" s="1186"/>
      <c r="AC525" s="1186"/>
      <c r="AD525" s="1187"/>
    </row>
    <row r="526" spans="1:30" x14ac:dyDescent="0.2">
      <c r="A526">
        <f t="shared" si="42"/>
        <v>14</v>
      </c>
      <c r="B526">
        <v>517</v>
      </c>
      <c r="C526" s="1078">
        <v>3</v>
      </c>
      <c r="D526" s="1077" t="s">
        <v>3606</v>
      </c>
      <c r="E526" s="1077" t="s">
        <v>4128</v>
      </c>
      <c r="F526" s="1185">
        <v>3</v>
      </c>
      <c r="G526" s="1186"/>
      <c r="H526" s="1186"/>
      <c r="I526" s="1186"/>
      <c r="J526" s="1186"/>
      <c r="K526" s="1186"/>
      <c r="L526" s="1186"/>
      <c r="M526" s="1186"/>
      <c r="N526" s="1186"/>
      <c r="O526" s="1186"/>
      <c r="P526" s="1186"/>
      <c r="Q526" s="1186"/>
      <c r="R526" s="1186"/>
      <c r="S526" s="1186"/>
      <c r="T526" s="1186"/>
      <c r="U526" s="1186"/>
      <c r="V526" s="1186"/>
      <c r="W526" s="1186">
        <v>73.5</v>
      </c>
      <c r="X526" s="1186">
        <v>4.8</v>
      </c>
      <c r="Y526" s="1186">
        <v>67.3</v>
      </c>
      <c r="Z526" s="1186">
        <v>3</v>
      </c>
      <c r="AA526" s="1186"/>
      <c r="AB526" s="1186"/>
      <c r="AC526" s="1186"/>
      <c r="AD526" s="1187"/>
    </row>
    <row r="527" spans="1:30" x14ac:dyDescent="0.2">
      <c r="A527">
        <f t="shared" si="42"/>
        <v>14</v>
      </c>
      <c r="B527">
        <v>518</v>
      </c>
      <c r="C527" s="1078">
        <v>4</v>
      </c>
      <c r="D527" s="1077" t="s">
        <v>3606</v>
      </c>
      <c r="E527" s="1077" t="s">
        <v>4129</v>
      </c>
      <c r="F527" s="1185">
        <v>1</v>
      </c>
      <c r="G527" s="1186"/>
      <c r="H527" s="1186"/>
      <c r="I527" s="1186"/>
      <c r="J527" s="1186"/>
      <c r="K527" s="1186"/>
      <c r="L527" s="1186"/>
      <c r="M527" s="1186"/>
      <c r="N527" s="1186"/>
      <c r="O527" s="1186"/>
      <c r="P527" s="1186"/>
      <c r="Q527" s="1186"/>
      <c r="R527" s="1186"/>
      <c r="S527" s="1186"/>
      <c r="T527" s="1186"/>
      <c r="U527" s="1186"/>
      <c r="V527" s="1186"/>
      <c r="W527" s="1186"/>
      <c r="X527" s="1186"/>
      <c r="Y527" s="1186"/>
      <c r="Z527" s="1186"/>
      <c r="AA527" s="1186">
        <v>9.6</v>
      </c>
      <c r="AB527" s="1186">
        <v>5.9</v>
      </c>
      <c r="AC527" s="1186">
        <v>8.4</v>
      </c>
      <c r="AD527" s="1187">
        <v>3.2</v>
      </c>
    </row>
    <row r="528" spans="1:30" x14ac:dyDescent="0.2">
      <c r="A528">
        <f t="shared" si="42"/>
        <v>14</v>
      </c>
      <c r="B528">
        <v>519</v>
      </c>
      <c r="C528" s="1078">
        <v>4</v>
      </c>
      <c r="D528" s="1077" t="s">
        <v>3606</v>
      </c>
      <c r="E528" s="1077" t="s">
        <v>4130</v>
      </c>
      <c r="F528" s="1185">
        <v>1</v>
      </c>
      <c r="G528" s="1186"/>
      <c r="H528" s="1186"/>
      <c r="I528" s="1186"/>
      <c r="J528" s="1186"/>
      <c r="K528" s="1186"/>
      <c r="L528" s="1186"/>
      <c r="M528" s="1186"/>
      <c r="N528" s="1186"/>
      <c r="O528" s="1186"/>
      <c r="P528" s="1186"/>
      <c r="Q528" s="1186"/>
      <c r="R528" s="1186"/>
      <c r="S528" s="1186"/>
      <c r="T528" s="1186"/>
      <c r="U528" s="1186"/>
      <c r="V528" s="1186"/>
      <c r="W528" s="1186"/>
      <c r="X528" s="1186"/>
      <c r="Y528" s="1186"/>
      <c r="Z528" s="1186"/>
      <c r="AA528" s="1186">
        <v>13.3</v>
      </c>
      <c r="AB528" s="1186">
        <v>6.1</v>
      </c>
      <c r="AC528" s="1186">
        <v>11.5</v>
      </c>
      <c r="AD528" s="1187">
        <v>3.3</v>
      </c>
    </row>
    <row r="529" spans="1:30" x14ac:dyDescent="0.2">
      <c r="A529">
        <f t="shared" si="42"/>
        <v>14</v>
      </c>
      <c r="B529">
        <v>520</v>
      </c>
      <c r="C529" s="1078">
        <v>4</v>
      </c>
      <c r="D529" s="1077" t="s">
        <v>3606</v>
      </c>
      <c r="E529" s="1077" t="s">
        <v>4131</v>
      </c>
      <c r="F529" s="1185">
        <v>1</v>
      </c>
      <c r="G529" s="1186"/>
      <c r="H529" s="1186"/>
      <c r="I529" s="1186"/>
      <c r="J529" s="1186"/>
      <c r="K529" s="1186"/>
      <c r="L529" s="1186"/>
      <c r="M529" s="1186"/>
      <c r="N529" s="1186"/>
      <c r="O529" s="1186"/>
      <c r="P529" s="1186"/>
      <c r="Q529" s="1186"/>
      <c r="R529" s="1186"/>
      <c r="S529" s="1186"/>
      <c r="T529" s="1186"/>
      <c r="U529" s="1186"/>
      <c r="V529" s="1186"/>
      <c r="W529" s="1186"/>
      <c r="X529" s="1186"/>
      <c r="Y529" s="1186"/>
      <c r="Z529" s="1186"/>
      <c r="AA529" s="1186">
        <v>17.100000000000001</v>
      </c>
      <c r="AB529" s="1186">
        <v>5.8</v>
      </c>
      <c r="AC529" s="1186">
        <v>15.1</v>
      </c>
      <c r="AD529" s="1187">
        <v>3.6</v>
      </c>
    </row>
    <row r="530" spans="1:30" x14ac:dyDescent="0.2">
      <c r="A530">
        <f t="shared" si="42"/>
        <v>14</v>
      </c>
      <c r="B530">
        <v>521</v>
      </c>
      <c r="C530" s="1078">
        <v>4</v>
      </c>
      <c r="D530" s="1077" t="s">
        <v>3606</v>
      </c>
      <c r="E530" s="1077" t="s">
        <v>4132</v>
      </c>
      <c r="F530" s="1185">
        <v>1</v>
      </c>
      <c r="G530" s="1186"/>
      <c r="H530" s="1186"/>
      <c r="I530" s="1186"/>
      <c r="J530" s="1186"/>
      <c r="K530" s="1186"/>
      <c r="L530" s="1186"/>
      <c r="M530" s="1186"/>
      <c r="N530" s="1186"/>
      <c r="O530" s="1186"/>
      <c r="P530" s="1186"/>
      <c r="Q530" s="1186"/>
      <c r="R530" s="1186"/>
      <c r="S530" s="1186"/>
      <c r="T530" s="1186"/>
      <c r="U530" s="1186"/>
      <c r="V530" s="1186"/>
      <c r="W530" s="1186"/>
      <c r="X530" s="1186"/>
      <c r="Y530" s="1186"/>
      <c r="Z530" s="1186"/>
      <c r="AA530" s="1186">
        <v>22.3</v>
      </c>
      <c r="AB530" s="1186">
        <v>5.7</v>
      </c>
      <c r="AC530" s="1186">
        <v>20</v>
      </c>
      <c r="AD530" s="1187">
        <v>3.6</v>
      </c>
    </row>
    <row r="531" spans="1:30" x14ac:dyDescent="0.2">
      <c r="A531">
        <f t="shared" si="42"/>
        <v>14</v>
      </c>
      <c r="B531">
        <v>522</v>
      </c>
      <c r="C531" s="1078">
        <v>4</v>
      </c>
      <c r="D531" s="1077" t="s">
        <v>3606</v>
      </c>
      <c r="E531" s="1077" t="s">
        <v>4133</v>
      </c>
      <c r="F531" s="1185">
        <v>3</v>
      </c>
      <c r="G531" s="1186"/>
      <c r="H531" s="1186"/>
      <c r="I531" s="1186"/>
      <c r="J531" s="1186"/>
      <c r="K531" s="1186"/>
      <c r="L531" s="1186"/>
      <c r="M531" s="1186"/>
      <c r="N531" s="1186"/>
      <c r="O531" s="1186"/>
      <c r="P531" s="1186"/>
      <c r="Q531" s="1186"/>
      <c r="R531" s="1186"/>
      <c r="S531" s="1186"/>
      <c r="T531" s="1186"/>
      <c r="U531" s="1186"/>
      <c r="V531" s="1186"/>
      <c r="W531" s="1186"/>
      <c r="X531" s="1186"/>
      <c r="Y531" s="1186"/>
      <c r="Z531" s="1186"/>
      <c r="AA531" s="1186">
        <v>35.6</v>
      </c>
      <c r="AB531" s="1186">
        <v>6.2</v>
      </c>
      <c r="AC531" s="1186">
        <v>32.1</v>
      </c>
      <c r="AD531" s="1187">
        <v>3.8</v>
      </c>
    </row>
    <row r="532" spans="1:30" x14ac:dyDescent="0.2">
      <c r="A532">
        <f t="shared" si="42"/>
        <v>14</v>
      </c>
      <c r="B532">
        <v>523</v>
      </c>
      <c r="C532" s="1078">
        <v>4</v>
      </c>
      <c r="D532" s="1077" t="s">
        <v>3606</v>
      </c>
      <c r="E532" s="1077" t="s">
        <v>4134</v>
      </c>
      <c r="F532" s="1185">
        <v>1</v>
      </c>
      <c r="G532" s="1186"/>
      <c r="H532" s="1186"/>
      <c r="I532" s="1186"/>
      <c r="J532" s="1186"/>
      <c r="K532" s="1186"/>
      <c r="L532" s="1186"/>
      <c r="M532" s="1186"/>
      <c r="N532" s="1186"/>
      <c r="O532" s="1186"/>
      <c r="P532" s="1186"/>
      <c r="Q532" s="1186"/>
      <c r="R532" s="1186"/>
      <c r="S532" s="1186"/>
      <c r="T532" s="1186"/>
      <c r="U532" s="1186"/>
      <c r="V532" s="1186"/>
      <c r="W532" s="1186"/>
      <c r="X532" s="1186"/>
      <c r="Y532" s="1186"/>
      <c r="Z532" s="1186"/>
      <c r="AA532" s="1186">
        <v>46.2</v>
      </c>
      <c r="AB532" s="1186">
        <v>5.8</v>
      </c>
      <c r="AC532" s="1186">
        <v>42.5</v>
      </c>
      <c r="AD532" s="1187">
        <v>3.7</v>
      </c>
    </row>
    <row r="533" spans="1:30" x14ac:dyDescent="0.2">
      <c r="A533">
        <f t="shared" si="42"/>
        <v>14</v>
      </c>
      <c r="B533">
        <v>524</v>
      </c>
      <c r="C533" s="1078">
        <v>4</v>
      </c>
      <c r="D533" s="1077" t="s">
        <v>3606</v>
      </c>
      <c r="E533" s="1077" t="s">
        <v>4135</v>
      </c>
      <c r="F533" s="1185">
        <v>1</v>
      </c>
      <c r="G533" s="1186"/>
      <c r="H533" s="1186"/>
      <c r="I533" s="1186"/>
      <c r="J533" s="1186"/>
      <c r="K533" s="1186"/>
      <c r="L533" s="1186"/>
      <c r="M533" s="1186"/>
      <c r="N533" s="1186"/>
      <c r="O533" s="1186"/>
      <c r="P533" s="1186"/>
      <c r="Q533" s="1186"/>
      <c r="R533" s="1186"/>
      <c r="S533" s="1186"/>
      <c r="T533" s="1186"/>
      <c r="U533" s="1186"/>
      <c r="V533" s="1186"/>
      <c r="W533" s="1186"/>
      <c r="X533" s="1186"/>
      <c r="Y533" s="1186"/>
      <c r="Z533" s="1186"/>
      <c r="AA533" s="1186">
        <v>47.6</v>
      </c>
      <c r="AB533" s="1186">
        <v>5.7</v>
      </c>
      <c r="AC533" s="1186">
        <v>41</v>
      </c>
      <c r="AD533" s="1187">
        <v>3.2</v>
      </c>
    </row>
    <row r="534" spans="1:30" x14ac:dyDescent="0.2">
      <c r="A534">
        <f t="shared" si="42"/>
        <v>14</v>
      </c>
      <c r="B534">
        <v>525</v>
      </c>
      <c r="C534" s="1078">
        <v>4</v>
      </c>
      <c r="D534" s="1077" t="s">
        <v>3606</v>
      </c>
      <c r="E534" s="1077" t="s">
        <v>4136</v>
      </c>
      <c r="F534" s="1185">
        <v>3</v>
      </c>
      <c r="G534" s="1186"/>
      <c r="H534" s="1186"/>
      <c r="I534" s="1186"/>
      <c r="J534" s="1186"/>
      <c r="K534" s="1186"/>
      <c r="L534" s="1186"/>
      <c r="M534" s="1186"/>
      <c r="N534" s="1186"/>
      <c r="O534" s="1186"/>
      <c r="P534" s="1186"/>
      <c r="Q534" s="1186"/>
      <c r="R534" s="1186"/>
      <c r="S534" s="1186"/>
      <c r="T534" s="1186"/>
      <c r="U534" s="1186"/>
      <c r="V534" s="1186"/>
      <c r="W534" s="1186"/>
      <c r="X534" s="1186"/>
      <c r="Y534" s="1186"/>
      <c r="Z534" s="1186"/>
      <c r="AA534" s="1186">
        <v>68.900000000000006</v>
      </c>
      <c r="AB534" s="1186">
        <v>6.2</v>
      </c>
      <c r="AC534" s="1186">
        <v>59.9</v>
      </c>
      <c r="AD534" s="1187">
        <v>3.7</v>
      </c>
    </row>
    <row r="535" spans="1:30" x14ac:dyDescent="0.2">
      <c r="A535">
        <f t="shared" si="42"/>
        <v>14</v>
      </c>
      <c r="B535">
        <v>526</v>
      </c>
      <c r="C535" s="1078">
        <v>4</v>
      </c>
      <c r="D535" s="1077" t="s">
        <v>3606</v>
      </c>
      <c r="E535" s="1077" t="s">
        <v>4137</v>
      </c>
      <c r="F535" s="1185">
        <v>3</v>
      </c>
      <c r="G535" s="1186"/>
      <c r="H535" s="1186"/>
      <c r="I535" s="1186"/>
      <c r="J535" s="1186"/>
      <c r="K535" s="1186"/>
      <c r="L535" s="1186"/>
      <c r="M535" s="1186"/>
      <c r="N535" s="1186"/>
      <c r="O535" s="1186"/>
      <c r="P535" s="1186"/>
      <c r="Q535" s="1186"/>
      <c r="R535" s="1186"/>
      <c r="S535" s="1186"/>
      <c r="T535" s="1186"/>
      <c r="U535" s="1186"/>
      <c r="V535" s="1186"/>
      <c r="W535" s="1186"/>
      <c r="X535" s="1186"/>
      <c r="Y535" s="1186"/>
      <c r="Z535" s="1186"/>
      <c r="AA535" s="1186">
        <v>98.9</v>
      </c>
      <c r="AB535" s="1186">
        <v>5.9</v>
      </c>
      <c r="AC535" s="1186">
        <v>89.9</v>
      </c>
      <c r="AD535" s="1187">
        <v>3.7</v>
      </c>
    </row>
    <row r="536" spans="1:30" x14ac:dyDescent="0.2">
      <c r="A536">
        <f t="shared" si="42"/>
        <v>15</v>
      </c>
      <c r="B536">
        <v>527</v>
      </c>
      <c r="C536" s="1078">
        <v>2</v>
      </c>
      <c r="D536" s="1077" t="s">
        <v>3915</v>
      </c>
      <c r="E536" s="1077" t="s">
        <v>4454</v>
      </c>
      <c r="F536" s="1185">
        <v>4</v>
      </c>
      <c r="G536" s="1186">
        <v>5.6</v>
      </c>
      <c r="H536" s="1186">
        <v>2.2999999999999998</v>
      </c>
      <c r="I536" s="1186">
        <v>6.72</v>
      </c>
      <c r="J536" s="1186">
        <v>2.64</v>
      </c>
      <c r="K536" s="1186">
        <v>4.25</v>
      </c>
      <c r="L536" s="1186">
        <v>3.7</v>
      </c>
      <c r="M536" s="1186">
        <v>3.39</v>
      </c>
      <c r="N536" s="1186">
        <v>4.2699999999999996</v>
      </c>
      <c r="O536" s="1186"/>
      <c r="P536" s="1186"/>
      <c r="Q536" s="1186">
        <v>5.6</v>
      </c>
      <c r="R536" s="1186">
        <v>2.2000000000000002</v>
      </c>
      <c r="S536" s="1186">
        <v>3.55</v>
      </c>
      <c r="T536" s="1186">
        <v>2.82</v>
      </c>
      <c r="U536" s="1186">
        <v>4</v>
      </c>
      <c r="V536" s="1186">
        <v>3.5</v>
      </c>
      <c r="W536" s="1186"/>
      <c r="X536" s="1186"/>
      <c r="Y536" s="1186"/>
      <c r="Z536" s="1186"/>
      <c r="AA536" s="1186"/>
      <c r="AB536" s="1186"/>
      <c r="AC536" s="1186"/>
      <c r="AD536" s="1187"/>
    </row>
    <row r="537" spans="1:30" x14ac:dyDescent="0.2">
      <c r="A537">
        <f t="shared" si="42"/>
        <v>15</v>
      </c>
      <c r="B537">
        <v>528</v>
      </c>
      <c r="C537" s="1078">
        <v>3</v>
      </c>
      <c r="D537" s="1077" t="s">
        <v>3915</v>
      </c>
      <c r="E537" s="1077" t="s">
        <v>4455</v>
      </c>
      <c r="F537" s="1185" t="s">
        <v>3913</v>
      </c>
      <c r="G537" s="1186"/>
      <c r="H537" s="1186"/>
      <c r="I537" s="1186"/>
      <c r="J537" s="1186"/>
      <c r="K537" s="1186"/>
      <c r="L537" s="1186"/>
      <c r="M537" s="1186"/>
      <c r="N537" s="1186"/>
      <c r="O537" s="1186"/>
      <c r="P537" s="1186"/>
      <c r="Q537" s="1186"/>
      <c r="R537" s="1186"/>
      <c r="S537" s="1186"/>
      <c r="T537" s="1186"/>
      <c r="U537" s="1186"/>
      <c r="V537" s="1186"/>
      <c r="W537" s="1186">
        <v>4</v>
      </c>
      <c r="X537" s="1186">
        <v>4.4000000000000004</v>
      </c>
      <c r="Y537" s="1186">
        <v>3.6</v>
      </c>
      <c r="Z537" s="1186">
        <v>2.9</v>
      </c>
      <c r="AA537" s="1186"/>
      <c r="AB537" s="1186"/>
      <c r="AC537" s="1186"/>
      <c r="AD537" s="1187"/>
    </row>
    <row r="538" spans="1:30" x14ac:dyDescent="0.2">
      <c r="A538">
        <f t="shared" si="42"/>
        <v>15</v>
      </c>
      <c r="B538">
        <v>529</v>
      </c>
      <c r="C538" s="1078">
        <v>3</v>
      </c>
      <c r="D538" s="1077" t="s">
        <v>3915</v>
      </c>
      <c r="E538" s="1077" t="s">
        <v>4456</v>
      </c>
      <c r="F538" s="1185" t="s">
        <v>3913</v>
      </c>
      <c r="G538" s="1186"/>
      <c r="H538" s="1186"/>
      <c r="I538" s="1186"/>
      <c r="J538" s="1186"/>
      <c r="K538" s="1186"/>
      <c r="L538" s="1186"/>
      <c r="M538" s="1186"/>
      <c r="N538" s="1186"/>
      <c r="O538" s="1186"/>
      <c r="P538" s="1186"/>
      <c r="Q538" s="1186"/>
      <c r="R538" s="1186"/>
      <c r="S538" s="1186"/>
      <c r="T538" s="1186"/>
      <c r="U538" s="1186"/>
      <c r="V538" s="1186"/>
      <c r="W538" s="1186">
        <v>5</v>
      </c>
      <c r="X538" s="1186">
        <v>4.3</v>
      </c>
      <c r="Y538" s="1186">
        <v>4.4000000000000004</v>
      </c>
      <c r="Z538" s="1186">
        <v>3</v>
      </c>
      <c r="AA538" s="1186"/>
      <c r="AB538" s="1186"/>
      <c r="AC538" s="1186"/>
      <c r="AD538" s="1187"/>
    </row>
    <row r="539" spans="1:30" x14ac:dyDescent="0.2">
      <c r="A539">
        <f t="shared" si="42"/>
        <v>15</v>
      </c>
      <c r="B539">
        <v>530</v>
      </c>
      <c r="C539" s="1078">
        <v>3</v>
      </c>
      <c r="D539" s="1077" t="s">
        <v>3915</v>
      </c>
      <c r="E539" s="1077" t="s">
        <v>4457</v>
      </c>
      <c r="F539" s="1185">
        <v>1</v>
      </c>
      <c r="G539" s="1186"/>
      <c r="H539" s="1186"/>
      <c r="I539" s="1186"/>
      <c r="J539" s="1186"/>
      <c r="K539" s="1186"/>
      <c r="L539" s="1186"/>
      <c r="M539" s="1186"/>
      <c r="N539" s="1186"/>
      <c r="O539" s="1186"/>
      <c r="P539" s="1186"/>
      <c r="Q539" s="1186"/>
      <c r="R539" s="1186"/>
      <c r="S539" s="1186"/>
      <c r="T539" s="1186"/>
      <c r="U539" s="1186"/>
      <c r="V539" s="1186"/>
      <c r="W539" s="1186">
        <v>7.2</v>
      </c>
      <c r="X539" s="1186">
        <v>4.4000000000000004</v>
      </c>
      <c r="Y539" s="1186">
        <v>6.5</v>
      </c>
      <c r="Z539" s="1186">
        <v>2.9</v>
      </c>
      <c r="AA539" s="1186"/>
      <c r="AB539" s="1186"/>
      <c r="AC539" s="1186"/>
      <c r="AD539" s="1187"/>
    </row>
    <row r="540" spans="1:30" x14ac:dyDescent="0.2">
      <c r="A540">
        <f t="shared" si="42"/>
        <v>15</v>
      </c>
      <c r="B540">
        <v>531</v>
      </c>
      <c r="C540" s="1078">
        <v>3</v>
      </c>
      <c r="D540" s="1077" t="s">
        <v>3915</v>
      </c>
      <c r="E540" s="1077" t="s">
        <v>4458</v>
      </c>
      <c r="F540" s="1185">
        <v>1</v>
      </c>
      <c r="G540" s="1186"/>
      <c r="H540" s="1186"/>
      <c r="I540" s="1186"/>
      <c r="J540" s="1186"/>
      <c r="K540" s="1186"/>
      <c r="L540" s="1186"/>
      <c r="M540" s="1186"/>
      <c r="N540" s="1186"/>
      <c r="O540" s="1186"/>
      <c r="P540" s="1186"/>
      <c r="Q540" s="1186"/>
      <c r="R540" s="1186"/>
      <c r="S540" s="1186"/>
      <c r="T540" s="1186"/>
      <c r="U540" s="1186"/>
      <c r="V540" s="1186"/>
      <c r="W540" s="1186">
        <v>9.5</v>
      </c>
      <c r="X540" s="1186">
        <v>4.5999999999999996</v>
      </c>
      <c r="Y540" s="1186">
        <v>8.6</v>
      </c>
      <c r="Z540" s="1186">
        <v>3</v>
      </c>
      <c r="AA540" s="1186"/>
      <c r="AB540" s="1186"/>
      <c r="AC540" s="1186"/>
      <c r="AD540" s="1187"/>
    </row>
    <row r="541" spans="1:30" x14ac:dyDescent="0.2">
      <c r="A541">
        <f t="shared" si="42"/>
        <v>16</v>
      </c>
      <c r="B541">
        <v>532</v>
      </c>
      <c r="C541" s="1078">
        <v>2</v>
      </c>
      <c r="D541" s="1077" t="s">
        <v>3601</v>
      </c>
      <c r="E541" s="1077" t="s">
        <v>4789</v>
      </c>
      <c r="F541" s="1185">
        <v>4</v>
      </c>
      <c r="G541" s="1186">
        <v>5.0999999999999996</v>
      </c>
      <c r="H541" s="1186">
        <v>2.6</v>
      </c>
      <c r="I541" s="1186">
        <v>6.3</v>
      </c>
      <c r="J541" s="1186">
        <v>3.1</v>
      </c>
      <c r="K541" s="1186">
        <v>4.9000000000000004</v>
      </c>
      <c r="L541" s="1186">
        <v>4.3</v>
      </c>
      <c r="M541" s="1186">
        <v>4.8</v>
      </c>
      <c r="N541" s="1186">
        <v>5</v>
      </c>
      <c r="O541" s="1186"/>
      <c r="P541" s="1186"/>
      <c r="Q541" s="1186">
        <v>4.2</v>
      </c>
      <c r="R541" s="1186">
        <v>2.2000000000000002</v>
      </c>
      <c r="S541" s="1186">
        <v>4.2</v>
      </c>
      <c r="T541" s="1186">
        <v>3</v>
      </c>
      <c r="U541" s="1186">
        <v>5</v>
      </c>
      <c r="V541" s="1186">
        <v>3.4</v>
      </c>
      <c r="W541" s="1186"/>
      <c r="X541" s="1186"/>
      <c r="Y541" s="1186"/>
      <c r="Z541" s="1186"/>
      <c r="AA541" s="1186"/>
      <c r="AB541" s="1186"/>
      <c r="AC541" s="1186"/>
      <c r="AD541" s="1187"/>
    </row>
    <row r="542" spans="1:30" x14ac:dyDescent="0.2">
      <c r="A542">
        <f t="shared" si="42"/>
        <v>16</v>
      </c>
      <c r="B542">
        <v>533</v>
      </c>
      <c r="C542" s="1081">
        <v>2</v>
      </c>
      <c r="D542" s="1082" t="s">
        <v>3601</v>
      </c>
      <c r="E542" s="1082" t="s">
        <v>4790</v>
      </c>
      <c r="F542" s="1188">
        <v>4</v>
      </c>
      <c r="G542" s="1189">
        <v>6.6</v>
      </c>
      <c r="H542" s="1189">
        <v>2.5</v>
      </c>
      <c r="I542" s="1189">
        <v>8.3000000000000007</v>
      </c>
      <c r="J542" s="1189">
        <v>3</v>
      </c>
      <c r="K542" s="1189">
        <v>5.7</v>
      </c>
      <c r="L542" s="1189">
        <v>4.2</v>
      </c>
      <c r="M542" s="1189">
        <v>5.7</v>
      </c>
      <c r="N542" s="1189">
        <v>5</v>
      </c>
      <c r="O542" s="1189"/>
      <c r="P542" s="1189"/>
      <c r="Q542" s="1189">
        <v>6.6</v>
      </c>
      <c r="R542" s="1189">
        <v>2.2999999999999998</v>
      </c>
      <c r="S542" s="1189">
        <v>5</v>
      </c>
      <c r="T542" s="1189">
        <v>3.1</v>
      </c>
      <c r="U542" s="1189">
        <v>7.1</v>
      </c>
      <c r="V542" s="1189">
        <v>3.7</v>
      </c>
      <c r="W542" s="1189"/>
      <c r="X542" s="1189"/>
      <c r="Y542" s="1189"/>
      <c r="Z542" s="1189"/>
      <c r="AA542" s="1189"/>
      <c r="AB542" s="1189"/>
      <c r="AC542" s="1189"/>
      <c r="AD542" s="1194"/>
    </row>
    <row r="543" spans="1:30" x14ac:dyDescent="0.2">
      <c r="A543">
        <f t="shared" si="42"/>
        <v>16</v>
      </c>
      <c r="B543">
        <v>534</v>
      </c>
      <c r="C543" s="1190">
        <v>2</v>
      </c>
      <c r="D543" s="1191" t="s">
        <v>3601</v>
      </c>
      <c r="E543" s="1191" t="s">
        <v>4791</v>
      </c>
      <c r="F543" s="1192">
        <v>4</v>
      </c>
      <c r="G543" s="1193">
        <v>8.1999999999999993</v>
      </c>
      <c r="H543" s="1193">
        <v>2.4</v>
      </c>
      <c r="I543" s="1193">
        <v>10.199999999999999</v>
      </c>
      <c r="J543" s="1193">
        <v>2.9</v>
      </c>
      <c r="K543" s="1193">
        <v>6.5</v>
      </c>
      <c r="L543" s="1193">
        <v>4.3</v>
      </c>
      <c r="M543" s="1193">
        <v>6.7</v>
      </c>
      <c r="N543" s="1193">
        <v>5</v>
      </c>
      <c r="O543" s="1193"/>
      <c r="P543" s="1193"/>
      <c r="Q543" s="1193">
        <v>7.2</v>
      </c>
      <c r="R543" s="1193">
        <v>2.2000000000000002</v>
      </c>
      <c r="S543" s="1193">
        <v>5.8</v>
      </c>
      <c r="T543" s="1193">
        <v>3.1</v>
      </c>
      <c r="U543" s="1193">
        <v>8.5</v>
      </c>
      <c r="V543" s="1193">
        <v>3.7</v>
      </c>
      <c r="W543" s="1193"/>
      <c r="X543" s="1193"/>
      <c r="Y543" s="1193"/>
      <c r="Z543" s="1193"/>
      <c r="AA543" s="1193"/>
      <c r="AB543" s="1193"/>
      <c r="AC543" s="1193"/>
      <c r="AD543" s="1195"/>
    </row>
    <row r="544" spans="1:30" x14ac:dyDescent="0.2">
      <c r="A544">
        <f t="shared" si="42"/>
        <v>16</v>
      </c>
      <c r="B544">
        <v>535</v>
      </c>
      <c r="C544" s="1078">
        <v>2</v>
      </c>
      <c r="D544" s="1077" t="s">
        <v>3601</v>
      </c>
      <c r="E544" s="1077" t="s">
        <v>4792</v>
      </c>
      <c r="F544" s="1185">
        <v>4</v>
      </c>
      <c r="G544" s="1186">
        <v>12</v>
      </c>
      <c r="H544" s="1186">
        <v>3.1</v>
      </c>
      <c r="I544" s="1186">
        <v>14.7</v>
      </c>
      <c r="J544" s="1186">
        <v>3.6</v>
      </c>
      <c r="K544" s="1186">
        <v>8</v>
      </c>
      <c r="L544" s="1186">
        <v>4</v>
      </c>
      <c r="M544" s="1186">
        <v>8</v>
      </c>
      <c r="N544" s="1186">
        <v>4.9000000000000004</v>
      </c>
      <c r="O544" s="1186"/>
      <c r="P544" s="1186"/>
      <c r="Q544" s="1186">
        <v>10.9</v>
      </c>
      <c r="R544" s="1186">
        <v>2.2000000000000002</v>
      </c>
      <c r="S544" s="1186">
        <v>7.4</v>
      </c>
      <c r="T544" s="1186">
        <v>3</v>
      </c>
      <c r="U544" s="1186">
        <v>8.8000000000000007</v>
      </c>
      <c r="V544" s="1186">
        <v>3.6</v>
      </c>
      <c r="W544" s="1186"/>
      <c r="X544" s="1186"/>
      <c r="Y544" s="1186"/>
      <c r="Z544" s="1186"/>
      <c r="AA544" s="1186"/>
      <c r="AB544" s="1186"/>
      <c r="AC544" s="1186"/>
      <c r="AD544" s="1187"/>
    </row>
    <row r="545" spans="1:30" x14ac:dyDescent="0.2">
      <c r="A545">
        <f t="shared" si="42"/>
        <v>16</v>
      </c>
      <c r="B545">
        <v>536</v>
      </c>
      <c r="C545" s="1078">
        <v>2</v>
      </c>
      <c r="D545" s="1077" t="s">
        <v>3601</v>
      </c>
      <c r="E545" s="1077" t="s">
        <v>4793</v>
      </c>
      <c r="F545" s="1185">
        <v>4</v>
      </c>
      <c r="G545" s="1186">
        <v>13.6</v>
      </c>
      <c r="H545" s="1186">
        <v>3</v>
      </c>
      <c r="I545" s="1186">
        <v>16.899999999999999</v>
      </c>
      <c r="J545" s="1186">
        <v>3.5</v>
      </c>
      <c r="K545" s="1186">
        <v>9.6</v>
      </c>
      <c r="L545" s="1186">
        <v>4.2</v>
      </c>
      <c r="M545" s="1186">
        <v>9.6</v>
      </c>
      <c r="N545" s="1186">
        <v>4.9000000000000004</v>
      </c>
      <c r="O545" s="1186"/>
      <c r="P545" s="1186"/>
      <c r="Q545" s="1186">
        <v>14.2</v>
      </c>
      <c r="R545" s="1186">
        <v>2.2999999999999998</v>
      </c>
      <c r="S545" s="1186">
        <v>8.6999999999999993</v>
      </c>
      <c r="T545" s="1186">
        <v>3.1</v>
      </c>
      <c r="U545" s="1186">
        <v>9.9</v>
      </c>
      <c r="V545" s="1186">
        <v>3.6</v>
      </c>
      <c r="W545" s="1186"/>
      <c r="X545" s="1186"/>
      <c r="Y545" s="1186"/>
      <c r="Z545" s="1186"/>
      <c r="AA545" s="1186"/>
      <c r="AB545" s="1186"/>
      <c r="AC545" s="1186"/>
      <c r="AD545" s="1187"/>
    </row>
    <row r="546" spans="1:30" x14ac:dyDescent="0.2">
      <c r="A546">
        <f t="shared" si="42"/>
        <v>16</v>
      </c>
      <c r="B546">
        <v>537</v>
      </c>
      <c r="C546" s="1078">
        <v>2</v>
      </c>
      <c r="D546" s="1077" t="s">
        <v>3601</v>
      </c>
      <c r="E546" s="1077" t="s">
        <v>5171</v>
      </c>
      <c r="F546" s="1185">
        <v>4</v>
      </c>
      <c r="G546" s="1186">
        <v>7.9</v>
      </c>
      <c r="H546" s="1186">
        <v>2.5</v>
      </c>
      <c r="I546" s="1186">
        <v>9.6999999999999993</v>
      </c>
      <c r="J546" s="1186">
        <v>2.9</v>
      </c>
      <c r="K546" s="1186">
        <v>5.4</v>
      </c>
      <c r="L546" s="1186">
        <v>4.47</v>
      </c>
      <c r="M546" s="1186">
        <v>5.0999999999999996</v>
      </c>
      <c r="N546" s="1186">
        <v>5.35</v>
      </c>
      <c r="O546" s="1186"/>
      <c r="P546" s="1186"/>
      <c r="Q546" s="1186">
        <v>7.7</v>
      </c>
      <c r="R546" s="1186">
        <v>2.29</v>
      </c>
      <c r="S546" s="1186">
        <v>4.8499999999999996</v>
      </c>
      <c r="T546" s="1186">
        <v>3.24</v>
      </c>
      <c r="U546" s="1186">
        <v>7.5</v>
      </c>
      <c r="V546" s="1186">
        <v>5</v>
      </c>
      <c r="W546" s="1186"/>
      <c r="X546" s="1186"/>
      <c r="Y546" s="1186"/>
      <c r="Z546" s="1186"/>
      <c r="AA546" s="1186"/>
      <c r="AB546" s="1186"/>
      <c r="AC546" s="1186"/>
      <c r="AD546" s="1187"/>
    </row>
    <row r="547" spans="1:30" x14ac:dyDescent="0.2">
      <c r="A547">
        <f t="shared" si="42"/>
        <v>16</v>
      </c>
      <c r="B547">
        <v>538</v>
      </c>
      <c r="C547" s="1078">
        <v>2</v>
      </c>
      <c r="D547" s="1077" t="s">
        <v>3601</v>
      </c>
      <c r="E547" s="1077" t="s">
        <v>5172</v>
      </c>
      <c r="F547" s="1185">
        <v>4</v>
      </c>
      <c r="G547" s="1186">
        <v>9.5</v>
      </c>
      <c r="H547" s="1186">
        <v>2.6</v>
      </c>
      <c r="I547" s="1186">
        <v>11.9</v>
      </c>
      <c r="J547" s="1186">
        <v>2.9</v>
      </c>
      <c r="K547" s="1186">
        <v>8.1999999999999993</v>
      </c>
      <c r="L547" s="1186">
        <v>4.47</v>
      </c>
      <c r="M547" s="1186">
        <v>7.15</v>
      </c>
      <c r="N547" s="1186">
        <v>5.4</v>
      </c>
      <c r="O547" s="1186"/>
      <c r="P547" s="1186"/>
      <c r="Q547" s="1186">
        <v>10.53</v>
      </c>
      <c r="R547" s="1186">
        <v>2.4</v>
      </c>
      <c r="S547" s="1186">
        <v>6.7</v>
      </c>
      <c r="T547" s="1186">
        <v>3.16</v>
      </c>
      <c r="U547" s="1186">
        <v>10.3</v>
      </c>
      <c r="V547" s="1186">
        <v>5.45</v>
      </c>
      <c r="W547" s="1186"/>
      <c r="X547" s="1186"/>
      <c r="Y547" s="1186"/>
      <c r="Z547" s="1186"/>
      <c r="AA547" s="1186"/>
      <c r="AB547" s="1186"/>
      <c r="AC547" s="1186"/>
      <c r="AD547" s="1187"/>
    </row>
    <row r="548" spans="1:30" x14ac:dyDescent="0.2">
      <c r="A548">
        <f t="shared" si="42"/>
        <v>16</v>
      </c>
      <c r="B548">
        <v>539</v>
      </c>
      <c r="C548" s="1078">
        <v>2</v>
      </c>
      <c r="D548" s="1077" t="s">
        <v>3601</v>
      </c>
      <c r="E548" s="1077" t="s">
        <v>5173</v>
      </c>
      <c r="F548" s="1185">
        <v>4</v>
      </c>
      <c r="G548" s="1186">
        <v>11.3</v>
      </c>
      <c r="H548" s="1186">
        <v>2.6</v>
      </c>
      <c r="I548" s="1186">
        <v>14.1</v>
      </c>
      <c r="J548" s="1186">
        <v>2.9</v>
      </c>
      <c r="K548" s="1186">
        <v>10.3</v>
      </c>
      <c r="L548" s="1186">
        <v>4.29</v>
      </c>
      <c r="M548" s="1186">
        <v>9.15</v>
      </c>
      <c r="N548" s="1186">
        <v>5.13</v>
      </c>
      <c r="O548" s="1186"/>
      <c r="P548" s="1186"/>
      <c r="Q548" s="1186">
        <v>13.3</v>
      </c>
      <c r="R548" s="1186">
        <v>2.0699999999999998</v>
      </c>
      <c r="S548" s="1186">
        <v>8.4</v>
      </c>
      <c r="T548" s="1186">
        <v>3.13</v>
      </c>
      <c r="U548" s="1186">
        <v>13.2</v>
      </c>
      <c r="V548" s="1186">
        <v>5.18</v>
      </c>
      <c r="W548" s="1186"/>
      <c r="X548" s="1186"/>
      <c r="Y548" s="1186"/>
      <c r="Z548" s="1186"/>
      <c r="AA548" s="1186"/>
      <c r="AB548" s="1186"/>
      <c r="AC548" s="1186"/>
      <c r="AD548" s="1187"/>
    </row>
    <row r="549" spans="1:30" x14ac:dyDescent="0.2">
      <c r="A549">
        <f t="shared" si="42"/>
        <v>16</v>
      </c>
      <c r="B549">
        <v>540</v>
      </c>
      <c r="C549" s="1078">
        <v>2</v>
      </c>
      <c r="D549" s="1077" t="s">
        <v>3601</v>
      </c>
      <c r="E549" s="1077" t="s">
        <v>5178</v>
      </c>
      <c r="F549" s="1185">
        <v>4</v>
      </c>
      <c r="G549" s="1186">
        <v>5.5</v>
      </c>
      <c r="H549" s="1186">
        <v>2.74</v>
      </c>
      <c r="I549" s="1186">
        <v>7</v>
      </c>
      <c r="J549" s="1186">
        <v>3.4</v>
      </c>
      <c r="K549" s="1186">
        <v>5</v>
      </c>
      <c r="L549" s="1186">
        <v>4.5</v>
      </c>
      <c r="M549" s="1186">
        <v>5.2</v>
      </c>
      <c r="N549" s="1186">
        <v>5.15</v>
      </c>
      <c r="O549" s="1186"/>
      <c r="P549" s="1186"/>
      <c r="Q549" s="1186">
        <v>6.51</v>
      </c>
      <c r="R549" s="1186">
        <v>2.2200000000000002</v>
      </c>
      <c r="S549" s="1186">
        <v>4.5999999999999996</v>
      </c>
      <c r="T549" s="1186">
        <v>2.93</v>
      </c>
      <c r="U549" s="1186">
        <v>6.59</v>
      </c>
      <c r="V549" s="1186">
        <v>4.6100000000000003</v>
      </c>
      <c r="W549" s="1186"/>
      <c r="X549" s="1186"/>
      <c r="Y549" s="1186"/>
      <c r="Z549" s="1186"/>
      <c r="AA549" s="1186"/>
      <c r="AB549" s="1186"/>
      <c r="AC549" s="1186"/>
      <c r="AD549" s="1187"/>
    </row>
    <row r="550" spans="1:30" x14ac:dyDescent="0.2">
      <c r="A550">
        <f t="shared" si="42"/>
        <v>16</v>
      </c>
      <c r="B550">
        <v>541</v>
      </c>
      <c r="C550" s="1078">
        <v>2</v>
      </c>
      <c r="D550" s="1077" t="s">
        <v>3601</v>
      </c>
      <c r="E550" s="1077" t="s">
        <v>5179</v>
      </c>
      <c r="F550" s="1185">
        <v>4</v>
      </c>
      <c r="G550" s="1186">
        <v>7.75</v>
      </c>
      <c r="H550" s="1186">
        <v>2.67</v>
      </c>
      <c r="I550" s="1186">
        <v>9.8000000000000007</v>
      </c>
      <c r="J550" s="1186">
        <v>3.18</v>
      </c>
      <c r="K550" s="1186">
        <v>6.57</v>
      </c>
      <c r="L550" s="1186">
        <v>4.24</v>
      </c>
      <c r="M550" s="1186">
        <v>7.95</v>
      </c>
      <c r="N550" s="1186">
        <v>5.2</v>
      </c>
      <c r="O550" s="1186"/>
      <c r="P550" s="1186"/>
      <c r="Q550" s="1186">
        <v>9.6300000000000008</v>
      </c>
      <c r="R550" s="1186">
        <v>2.2799999999999998</v>
      </c>
      <c r="S550" s="1186">
        <v>7.41</v>
      </c>
      <c r="T550" s="1186">
        <v>3.15</v>
      </c>
      <c r="U550" s="1186">
        <v>10.15</v>
      </c>
      <c r="V550" s="1186">
        <v>4.43</v>
      </c>
      <c r="W550" s="1186"/>
      <c r="X550" s="1186"/>
      <c r="Y550" s="1186"/>
      <c r="Z550" s="1186"/>
      <c r="AA550" s="1186"/>
      <c r="AB550" s="1186"/>
      <c r="AC550" s="1186"/>
      <c r="AD550" s="1187"/>
    </row>
    <row r="551" spans="1:30" x14ac:dyDescent="0.2">
      <c r="A551">
        <f t="shared" si="42"/>
        <v>16</v>
      </c>
      <c r="B551">
        <v>542</v>
      </c>
      <c r="C551" s="1078">
        <v>2</v>
      </c>
      <c r="D551" s="1082" t="s">
        <v>3601</v>
      </c>
      <c r="E551" s="1077" t="s">
        <v>5306</v>
      </c>
      <c r="F551" s="1185">
        <v>4</v>
      </c>
      <c r="G551" s="1186">
        <v>9.9</v>
      </c>
      <c r="H551" s="1186">
        <v>2.4</v>
      </c>
      <c r="I551" s="1186">
        <v>12.54</v>
      </c>
      <c r="J551" s="1186">
        <v>2.9</v>
      </c>
      <c r="K551" s="1186">
        <v>7.5</v>
      </c>
      <c r="L551" s="1186">
        <v>4.3</v>
      </c>
      <c r="M551" s="1186">
        <v>10.1</v>
      </c>
      <c r="N551" s="1186">
        <v>5.0999999999999996</v>
      </c>
      <c r="O551" s="1186"/>
      <c r="P551" s="1186"/>
      <c r="Q551" s="1186">
        <v>12</v>
      </c>
      <c r="R551" s="1186">
        <v>2.1</v>
      </c>
      <c r="S551" s="1186">
        <v>9.5</v>
      </c>
      <c r="T551" s="1186">
        <v>3.1</v>
      </c>
      <c r="U551" s="1186">
        <v>13.8</v>
      </c>
      <c r="V551" s="1186">
        <v>4.5999999999999996</v>
      </c>
      <c r="W551" s="1186"/>
      <c r="X551" s="1186"/>
      <c r="Y551" s="1186"/>
      <c r="Z551" s="1186"/>
      <c r="AA551" s="1186"/>
      <c r="AB551" s="1186"/>
      <c r="AC551" s="1186"/>
      <c r="AD551" s="1187"/>
    </row>
    <row r="552" spans="1:30" x14ac:dyDescent="0.2">
      <c r="A552">
        <f t="shared" si="42"/>
        <v>16</v>
      </c>
      <c r="B552">
        <v>543</v>
      </c>
      <c r="C552" s="1078">
        <v>2</v>
      </c>
      <c r="D552" s="1077" t="s">
        <v>3601</v>
      </c>
      <c r="E552" s="1077" t="s">
        <v>5267</v>
      </c>
      <c r="F552" s="1185">
        <v>4</v>
      </c>
      <c r="G552" s="1186">
        <v>11</v>
      </c>
      <c r="H552" s="1186">
        <v>2.7</v>
      </c>
      <c r="I552" s="1186">
        <v>14</v>
      </c>
      <c r="J552" s="1186">
        <v>3.4</v>
      </c>
      <c r="K552" s="1186">
        <v>10</v>
      </c>
      <c r="L552" s="1186">
        <v>4.5</v>
      </c>
      <c r="M552" s="1186">
        <v>10.4</v>
      </c>
      <c r="N552" s="1186">
        <v>5.15</v>
      </c>
      <c r="O552" s="1186"/>
      <c r="P552" s="1186"/>
      <c r="Q552" s="1186">
        <v>13</v>
      </c>
      <c r="R552" s="1186">
        <v>2.2000000000000002</v>
      </c>
      <c r="S552" s="1186">
        <v>9.1999999999999993</v>
      </c>
      <c r="T552" s="1186">
        <v>2.9</v>
      </c>
      <c r="U552" s="1186">
        <v>13.2</v>
      </c>
      <c r="V552" s="1186">
        <v>4.5999999999999996</v>
      </c>
      <c r="W552" s="1186"/>
      <c r="X552" s="1186"/>
      <c r="Y552" s="1186"/>
      <c r="Z552" s="1186"/>
      <c r="AA552" s="1186"/>
      <c r="AB552" s="1186"/>
      <c r="AC552" s="1186"/>
      <c r="AD552" s="1187"/>
    </row>
    <row r="553" spans="1:30" x14ac:dyDescent="0.2">
      <c r="A553">
        <f t="shared" si="42"/>
        <v>16</v>
      </c>
      <c r="B553">
        <v>544</v>
      </c>
      <c r="C553" s="1078">
        <v>2</v>
      </c>
      <c r="D553" s="1077" t="s">
        <v>3601</v>
      </c>
      <c r="E553" s="1077" t="s">
        <v>5268</v>
      </c>
      <c r="F553" s="1185">
        <v>4</v>
      </c>
      <c r="G553" s="1186">
        <v>15.6</v>
      </c>
      <c r="H553" s="1186">
        <v>2.7</v>
      </c>
      <c r="I553" s="1186">
        <v>19.399999999999999</v>
      </c>
      <c r="J553" s="1186">
        <v>3.2</v>
      </c>
      <c r="K553" s="1186">
        <v>13.1</v>
      </c>
      <c r="L553" s="1186">
        <v>4.2</v>
      </c>
      <c r="M553" s="1186">
        <v>15.9</v>
      </c>
      <c r="N553" s="1186">
        <v>5.2</v>
      </c>
      <c r="O553" s="1186"/>
      <c r="P553" s="1186"/>
      <c r="Q553" s="1186">
        <v>19.3</v>
      </c>
      <c r="R553" s="1186">
        <v>2.2999999999999998</v>
      </c>
      <c r="S553" s="1186">
        <v>14.8</v>
      </c>
      <c r="T553" s="1186">
        <v>3.2</v>
      </c>
      <c r="U553" s="1186">
        <v>20.3</v>
      </c>
      <c r="V553" s="1186">
        <v>4.4000000000000004</v>
      </c>
      <c r="W553" s="1186"/>
      <c r="X553" s="1186"/>
      <c r="Y553" s="1186"/>
      <c r="Z553" s="1186"/>
      <c r="AA553" s="1186"/>
      <c r="AB553" s="1186"/>
      <c r="AC553" s="1186"/>
      <c r="AD553" s="1187"/>
    </row>
    <row r="554" spans="1:30" x14ac:dyDescent="0.2">
      <c r="A554">
        <f t="shared" si="42"/>
        <v>16</v>
      </c>
      <c r="B554">
        <v>545</v>
      </c>
      <c r="C554" s="1078">
        <v>2</v>
      </c>
      <c r="D554" s="1082" t="s">
        <v>3601</v>
      </c>
      <c r="E554" s="1077" t="s">
        <v>5416</v>
      </c>
      <c r="F554" s="1185">
        <v>4</v>
      </c>
      <c r="G554" s="1186">
        <v>5.5</v>
      </c>
      <c r="H554" s="1186">
        <v>2.4</v>
      </c>
      <c r="I554" s="1186">
        <v>6.8</v>
      </c>
      <c r="J554" s="1186">
        <v>3</v>
      </c>
      <c r="K554" s="1186">
        <v>5.2</v>
      </c>
      <c r="L554" s="1186">
        <v>4.54</v>
      </c>
      <c r="M554" s="1186">
        <v>4.5</v>
      </c>
      <c r="N554" s="1186">
        <v>5.5</v>
      </c>
      <c r="O554" s="1186"/>
      <c r="P554" s="1186"/>
      <c r="Q554" s="1186">
        <v>5.7</v>
      </c>
      <c r="R554" s="1186">
        <v>2</v>
      </c>
      <c r="S554" s="1186">
        <v>4.3</v>
      </c>
      <c r="T554" s="1186">
        <v>3.4</v>
      </c>
      <c r="U554" s="1186">
        <v>4.5</v>
      </c>
      <c r="V554" s="1186">
        <v>3.9</v>
      </c>
      <c r="W554" s="1186"/>
      <c r="X554" s="1186"/>
      <c r="Y554" s="1186"/>
      <c r="Z554" s="1186"/>
      <c r="AA554" s="1186"/>
      <c r="AB554" s="1186"/>
      <c r="AC554" s="1186"/>
      <c r="AD554" s="1187"/>
    </row>
    <row r="555" spans="1:30" x14ac:dyDescent="0.2">
      <c r="A555">
        <f t="shared" si="42"/>
        <v>16</v>
      </c>
      <c r="B555">
        <v>546</v>
      </c>
      <c r="C555" s="1078">
        <v>2</v>
      </c>
      <c r="D555" s="1082" t="s">
        <v>3601</v>
      </c>
      <c r="E555" s="1077" t="s">
        <v>5417</v>
      </c>
      <c r="F555" s="1185">
        <v>4</v>
      </c>
      <c r="G555" s="1186">
        <v>7.8</v>
      </c>
      <c r="H555" s="1186">
        <v>2.5</v>
      </c>
      <c r="I555" s="1186">
        <v>9.8000000000000007</v>
      </c>
      <c r="J555" s="1186">
        <v>3.1</v>
      </c>
      <c r="K555" s="1186">
        <v>5.8</v>
      </c>
      <c r="L555" s="1186">
        <v>4.6500000000000004</v>
      </c>
      <c r="M555" s="1186">
        <v>4.0999999999999996</v>
      </c>
      <c r="N555" s="1186">
        <v>5.7</v>
      </c>
      <c r="O555" s="1186"/>
      <c r="P555" s="1186"/>
      <c r="Q555" s="1186">
        <v>7.7</v>
      </c>
      <c r="R555" s="1186">
        <v>2.1</v>
      </c>
      <c r="S555" s="1186">
        <v>6.1</v>
      </c>
      <c r="T555" s="1186">
        <v>3.5</v>
      </c>
      <c r="U555" s="1186">
        <v>6.4</v>
      </c>
      <c r="V555" s="1186">
        <v>4.4000000000000004</v>
      </c>
      <c r="W555" s="1186"/>
      <c r="X555" s="1186"/>
      <c r="Y555" s="1186"/>
      <c r="Z555" s="1186"/>
      <c r="AA555" s="1186"/>
      <c r="AB555" s="1186"/>
      <c r="AC555" s="1186"/>
      <c r="AD555" s="1187"/>
    </row>
    <row r="556" spans="1:30" x14ac:dyDescent="0.2">
      <c r="A556">
        <f t="shared" si="42"/>
        <v>16</v>
      </c>
      <c r="B556">
        <v>547</v>
      </c>
      <c r="C556" s="1081">
        <v>2</v>
      </c>
      <c r="D556" s="1082" t="s">
        <v>3601</v>
      </c>
      <c r="E556" s="1082" t="s">
        <v>5650</v>
      </c>
      <c r="F556" s="1188">
        <v>4</v>
      </c>
      <c r="G556" s="1189">
        <v>13.3</v>
      </c>
      <c r="H556" s="1189">
        <v>2.5</v>
      </c>
      <c r="I556" s="1189">
        <v>16.7</v>
      </c>
      <c r="J556" s="1189">
        <v>3</v>
      </c>
      <c r="K556" s="1189">
        <v>9.9</v>
      </c>
      <c r="L556" s="1189">
        <v>4.5999999999999996</v>
      </c>
      <c r="M556" s="1189">
        <v>7.3</v>
      </c>
      <c r="N556" s="1189">
        <v>5.7</v>
      </c>
      <c r="O556" s="1189"/>
      <c r="P556" s="1189"/>
      <c r="Q556" s="1189">
        <v>9.6</v>
      </c>
      <c r="R556" s="1189">
        <v>2.2000000000000002</v>
      </c>
      <c r="S556" s="1189">
        <v>13.1</v>
      </c>
      <c r="T556" s="1189">
        <v>3.1</v>
      </c>
      <c r="U556" s="1189">
        <v>13.1</v>
      </c>
      <c r="V556" s="1189">
        <v>4</v>
      </c>
      <c r="W556" s="1189"/>
      <c r="X556" s="1189"/>
      <c r="Y556" s="1189"/>
      <c r="Z556" s="1189"/>
      <c r="AA556" s="1189"/>
      <c r="AB556" s="1189"/>
      <c r="AC556" s="1189"/>
      <c r="AD556" s="1194"/>
    </row>
    <row r="557" spans="1:30" x14ac:dyDescent="0.2">
      <c r="A557">
        <f t="shared" si="42"/>
        <v>16</v>
      </c>
      <c r="B557">
        <v>548</v>
      </c>
      <c r="C557" s="1190">
        <v>2</v>
      </c>
      <c r="D557" s="1082" t="s">
        <v>3601</v>
      </c>
      <c r="E557" s="1191" t="s">
        <v>5651</v>
      </c>
      <c r="F557" s="1192">
        <v>4</v>
      </c>
      <c r="G557" s="1193">
        <v>16.8</v>
      </c>
      <c r="H557" s="1193">
        <v>2.4</v>
      </c>
      <c r="I557" s="1193">
        <v>20.399999999999999</v>
      </c>
      <c r="J557" s="1193">
        <v>2.8</v>
      </c>
      <c r="K557" s="1193">
        <v>11.9</v>
      </c>
      <c r="L557" s="1193">
        <v>4.4000000000000004</v>
      </c>
      <c r="M557" s="1193">
        <v>9.6999999999999993</v>
      </c>
      <c r="N557" s="1193">
        <v>5.7</v>
      </c>
      <c r="O557" s="1193"/>
      <c r="P557" s="1193"/>
      <c r="Q557" s="1193">
        <v>12.9</v>
      </c>
      <c r="R557" s="1193">
        <v>2.2000000000000002</v>
      </c>
      <c r="S557" s="1193">
        <v>15.8</v>
      </c>
      <c r="T557" s="1193">
        <v>3.1</v>
      </c>
      <c r="U557" s="1193">
        <v>16.100000000000001</v>
      </c>
      <c r="V557" s="1193">
        <v>3.9</v>
      </c>
      <c r="W557" s="1193"/>
      <c r="X557" s="1193"/>
      <c r="Y557" s="1193"/>
      <c r="Z557" s="1193"/>
      <c r="AA557" s="1193"/>
      <c r="AB557" s="1193"/>
      <c r="AC557" s="1193"/>
      <c r="AD557" s="1195"/>
    </row>
    <row r="558" spans="1:30" x14ac:dyDescent="0.2">
      <c r="A558">
        <f t="shared" si="42"/>
        <v>16</v>
      </c>
      <c r="B558">
        <v>549</v>
      </c>
      <c r="C558" s="1081">
        <v>2</v>
      </c>
      <c r="D558" s="1082" t="s">
        <v>3601</v>
      </c>
      <c r="E558" s="1082" t="s">
        <v>5269</v>
      </c>
      <c r="F558" s="1188">
        <v>4</v>
      </c>
      <c r="G558" s="1189">
        <v>3.53</v>
      </c>
      <c r="H558" s="1189">
        <v>2.31</v>
      </c>
      <c r="I558" s="1189">
        <v>4.5</v>
      </c>
      <c r="J558" s="1189">
        <v>2.9</v>
      </c>
      <c r="K558" s="1189">
        <v>2.8</v>
      </c>
      <c r="L558" s="1189">
        <v>4.0999999999999996</v>
      </c>
      <c r="M558" s="1189">
        <v>3.5</v>
      </c>
      <c r="N558" s="1189">
        <v>5.0999999999999996</v>
      </c>
      <c r="O558" s="1189"/>
      <c r="P558" s="1189"/>
      <c r="Q558" s="1189">
        <v>3.35</v>
      </c>
      <c r="R558" s="1189">
        <v>2</v>
      </c>
      <c r="S558" s="1189">
        <v>3</v>
      </c>
      <c r="T558" s="1189">
        <v>2.7</v>
      </c>
      <c r="U558" s="1189">
        <v>3.2</v>
      </c>
      <c r="V558" s="1189">
        <v>3.2</v>
      </c>
      <c r="W558" s="1189"/>
      <c r="X558" s="1189"/>
      <c r="Y558" s="1189"/>
      <c r="Z558" s="1189"/>
      <c r="AA558" s="1189"/>
      <c r="AB558" s="1189"/>
      <c r="AC558" s="1189"/>
      <c r="AD558" s="1194"/>
    </row>
    <row r="559" spans="1:30" x14ac:dyDescent="0.2">
      <c r="A559">
        <f t="shared" si="42"/>
        <v>16</v>
      </c>
      <c r="B559">
        <v>550</v>
      </c>
      <c r="C559" s="1190">
        <v>2</v>
      </c>
      <c r="D559" s="1191" t="s">
        <v>3601</v>
      </c>
      <c r="E559" s="1191" t="s">
        <v>5270</v>
      </c>
      <c r="F559" s="1192">
        <v>4</v>
      </c>
      <c r="G559" s="1193">
        <v>4.4000000000000004</v>
      </c>
      <c r="H559" s="1193">
        <v>2.2000000000000002</v>
      </c>
      <c r="I559" s="1193">
        <v>5.2</v>
      </c>
      <c r="J559" s="1193">
        <v>2.7</v>
      </c>
      <c r="K559" s="1193">
        <v>3.4</v>
      </c>
      <c r="L559" s="1193">
        <v>3.8</v>
      </c>
      <c r="M559" s="1193">
        <v>5</v>
      </c>
      <c r="N559" s="1193">
        <v>5</v>
      </c>
      <c r="O559" s="1193"/>
      <c r="P559" s="1193"/>
      <c r="Q559" s="1193">
        <v>4.6500000000000004</v>
      </c>
      <c r="R559" s="1193">
        <v>2.1</v>
      </c>
      <c r="S559" s="1193">
        <v>3.8</v>
      </c>
      <c r="T559" s="1193">
        <v>2.8</v>
      </c>
      <c r="U559" s="1193">
        <v>4.3</v>
      </c>
      <c r="V559" s="1193">
        <v>3.6</v>
      </c>
      <c r="W559" s="1193"/>
      <c r="X559" s="1193"/>
      <c r="Y559" s="1193"/>
      <c r="Z559" s="1193"/>
      <c r="AA559" s="1193"/>
      <c r="AB559" s="1193"/>
      <c r="AC559" s="1193"/>
      <c r="AD559" s="1195"/>
    </row>
    <row r="560" spans="1:30" x14ac:dyDescent="0.2">
      <c r="A560">
        <f t="shared" si="42"/>
        <v>16</v>
      </c>
      <c r="B560">
        <v>551</v>
      </c>
      <c r="C560" s="1078">
        <v>2</v>
      </c>
      <c r="D560" s="1077" t="s">
        <v>3601</v>
      </c>
      <c r="E560" s="1077" t="s">
        <v>5271</v>
      </c>
      <c r="F560" s="1185">
        <v>4</v>
      </c>
      <c r="G560" s="1186">
        <v>6.9</v>
      </c>
      <c r="H560" s="1186">
        <v>2.2000000000000002</v>
      </c>
      <c r="I560" s="1186">
        <v>8.5</v>
      </c>
      <c r="J560" s="1186">
        <v>2.7</v>
      </c>
      <c r="K560" s="1186">
        <v>4.9000000000000004</v>
      </c>
      <c r="L560" s="1186">
        <v>4.0999999999999996</v>
      </c>
      <c r="M560" s="1186">
        <v>8</v>
      </c>
      <c r="N560" s="1186">
        <v>4.8</v>
      </c>
      <c r="O560" s="1186"/>
      <c r="P560" s="1186"/>
      <c r="Q560" s="1186">
        <v>6.6</v>
      </c>
      <c r="R560" s="1186">
        <v>2.1</v>
      </c>
      <c r="S560" s="1186">
        <v>5.8</v>
      </c>
      <c r="T560" s="1186">
        <v>3</v>
      </c>
      <c r="U560" s="1186">
        <v>6.2</v>
      </c>
      <c r="V560" s="1186">
        <v>3.8</v>
      </c>
      <c r="W560" s="1186"/>
      <c r="X560" s="1186"/>
      <c r="Y560" s="1186"/>
      <c r="Z560" s="1186"/>
      <c r="AA560" s="1186"/>
      <c r="AB560" s="1186"/>
      <c r="AC560" s="1186"/>
      <c r="AD560" s="1187"/>
    </row>
    <row r="561" spans="1:30" x14ac:dyDescent="0.2">
      <c r="A561">
        <f t="shared" si="42"/>
        <v>16</v>
      </c>
      <c r="B561">
        <v>552</v>
      </c>
      <c r="C561" s="1078">
        <v>2</v>
      </c>
      <c r="D561" s="1077" t="s">
        <v>3601</v>
      </c>
      <c r="E561" s="1077" t="s">
        <v>5272</v>
      </c>
      <c r="F561" s="1185">
        <v>4</v>
      </c>
      <c r="G561" s="1186">
        <v>8.1</v>
      </c>
      <c r="H561" s="1186">
        <v>2.2000000000000002</v>
      </c>
      <c r="I561" s="1186">
        <v>11.5</v>
      </c>
      <c r="J561" s="1186">
        <v>2.9</v>
      </c>
      <c r="K561" s="1186">
        <v>6.8</v>
      </c>
      <c r="L561" s="1186">
        <v>4.3</v>
      </c>
      <c r="M561" s="1186">
        <v>12</v>
      </c>
      <c r="N561" s="1186">
        <v>4.9000000000000004</v>
      </c>
      <c r="O561" s="1186"/>
      <c r="P561" s="1186"/>
      <c r="Q561" s="1186">
        <v>8.4</v>
      </c>
      <c r="R561" s="1186">
        <v>2.2999999999999998</v>
      </c>
      <c r="S561" s="1186">
        <v>7.7</v>
      </c>
      <c r="T561" s="1186">
        <v>3.2</v>
      </c>
      <c r="U561" s="1186">
        <v>8.1</v>
      </c>
      <c r="V561" s="1186">
        <v>4.25</v>
      </c>
      <c r="W561" s="1186"/>
      <c r="X561" s="1186"/>
      <c r="Y561" s="1186"/>
      <c r="Z561" s="1186"/>
      <c r="AA561" s="1186"/>
      <c r="AB561" s="1186"/>
      <c r="AC561" s="1186"/>
      <c r="AD561" s="1187"/>
    </row>
    <row r="562" spans="1:30" x14ac:dyDescent="0.2">
      <c r="A562">
        <f t="shared" si="42"/>
        <v>16</v>
      </c>
      <c r="B562">
        <v>553</v>
      </c>
      <c r="C562" s="1078">
        <v>2</v>
      </c>
      <c r="D562" s="1077" t="s">
        <v>3601</v>
      </c>
      <c r="E562" s="1077" t="s">
        <v>5273</v>
      </c>
      <c r="F562" s="1185">
        <v>4</v>
      </c>
      <c r="G562" s="1186">
        <v>10.199999999999999</v>
      </c>
      <c r="H562" s="1186">
        <v>2.2000000000000002</v>
      </c>
      <c r="I562" s="1186">
        <v>13.8</v>
      </c>
      <c r="J562" s="1186">
        <v>2.9</v>
      </c>
      <c r="K562" s="1186">
        <v>8</v>
      </c>
      <c r="L562" s="1186">
        <v>4.2</v>
      </c>
      <c r="M562" s="1186">
        <v>15</v>
      </c>
      <c r="N562" s="1186">
        <v>4.7</v>
      </c>
      <c r="O562" s="1186"/>
      <c r="P562" s="1186"/>
      <c r="Q562" s="1186">
        <v>10.3</v>
      </c>
      <c r="R562" s="1186">
        <v>2.2999999999999998</v>
      </c>
      <c r="S562" s="1186">
        <v>9.5</v>
      </c>
      <c r="T562" s="1186">
        <v>3.2</v>
      </c>
      <c r="U562" s="1186">
        <v>10.1</v>
      </c>
      <c r="V562" s="1186">
        <v>3.9</v>
      </c>
      <c r="W562" s="1186"/>
      <c r="X562" s="1186"/>
      <c r="Y562" s="1186"/>
      <c r="Z562" s="1186"/>
      <c r="AA562" s="1186"/>
      <c r="AB562" s="1186"/>
      <c r="AC562" s="1186"/>
      <c r="AD562" s="1187"/>
    </row>
    <row r="563" spans="1:30" x14ac:dyDescent="0.2">
      <c r="A563">
        <f t="shared" si="42"/>
        <v>16</v>
      </c>
      <c r="B563">
        <v>554</v>
      </c>
      <c r="C563" s="1078">
        <v>2</v>
      </c>
      <c r="D563" s="1077" t="s">
        <v>3601</v>
      </c>
      <c r="E563" s="1077" t="s">
        <v>4138</v>
      </c>
      <c r="F563" s="1185">
        <v>1</v>
      </c>
      <c r="G563" s="1186">
        <v>12</v>
      </c>
      <c r="H563" s="1186">
        <v>2.2999999999999998</v>
      </c>
      <c r="I563" s="1186">
        <v>14.6</v>
      </c>
      <c r="J563" s="1186">
        <v>2.6</v>
      </c>
      <c r="K563" s="1186">
        <v>18.899999999999999</v>
      </c>
      <c r="L563" s="1186">
        <v>3.2</v>
      </c>
      <c r="M563" s="1186">
        <v>22.4</v>
      </c>
      <c r="N563" s="1186">
        <v>3.7</v>
      </c>
      <c r="O563" s="1186">
        <v>28.4</v>
      </c>
      <c r="P563" s="1186">
        <v>4.3</v>
      </c>
      <c r="Q563" s="1186">
        <v>14.9</v>
      </c>
      <c r="R563" s="1186">
        <v>2.1</v>
      </c>
      <c r="S563" s="1186">
        <v>21.6</v>
      </c>
      <c r="T563" s="1186">
        <v>2.7</v>
      </c>
      <c r="U563" s="1186">
        <v>27.2</v>
      </c>
      <c r="V563" s="1186">
        <v>3.2</v>
      </c>
      <c r="W563" s="1186"/>
      <c r="X563" s="1186"/>
      <c r="Y563" s="1186"/>
      <c r="Z563" s="1186"/>
      <c r="AA563" s="1186"/>
      <c r="AB563" s="1186"/>
      <c r="AC563" s="1186"/>
      <c r="AD563" s="1187"/>
    </row>
    <row r="564" spans="1:30" x14ac:dyDescent="0.2">
      <c r="A564">
        <f t="shared" si="42"/>
        <v>16</v>
      </c>
      <c r="B564">
        <v>555</v>
      </c>
      <c r="C564" s="1078">
        <v>2</v>
      </c>
      <c r="D564" s="1077" t="s">
        <v>3601</v>
      </c>
      <c r="E564" s="1077" t="s">
        <v>4139</v>
      </c>
      <c r="F564" s="1185">
        <v>1</v>
      </c>
      <c r="G564" s="1186">
        <v>17.100000000000001</v>
      </c>
      <c r="H564" s="1186">
        <v>2.2999999999999998</v>
      </c>
      <c r="I564" s="1186">
        <v>20</v>
      </c>
      <c r="J564" s="1186">
        <v>2.7</v>
      </c>
      <c r="K564" s="1186">
        <v>24.4</v>
      </c>
      <c r="L564" s="1186">
        <v>3.3</v>
      </c>
      <c r="M564" s="1186">
        <v>30.8</v>
      </c>
      <c r="N564" s="1186">
        <v>4.0999999999999996</v>
      </c>
      <c r="O564" s="1186">
        <v>38.200000000000003</v>
      </c>
      <c r="P564" s="1186">
        <v>5</v>
      </c>
      <c r="Q564" s="1186">
        <v>21</v>
      </c>
      <c r="R564" s="1186">
        <v>1.9</v>
      </c>
      <c r="S564" s="1186">
        <v>30.1</v>
      </c>
      <c r="T564" s="1186">
        <v>2.7</v>
      </c>
      <c r="U564" s="1186">
        <v>36.4</v>
      </c>
      <c r="V564" s="1186">
        <v>3.2</v>
      </c>
      <c r="W564" s="1186"/>
      <c r="X564" s="1186"/>
      <c r="Y564" s="1186"/>
      <c r="Z564" s="1186"/>
      <c r="AA564" s="1186"/>
      <c r="AB564" s="1186"/>
      <c r="AC564" s="1186"/>
      <c r="AD564" s="1187"/>
    </row>
    <row r="565" spans="1:30" x14ac:dyDescent="0.2">
      <c r="A565">
        <f t="shared" si="42"/>
        <v>16</v>
      </c>
      <c r="B565">
        <v>556</v>
      </c>
      <c r="C565" s="1078">
        <v>2</v>
      </c>
      <c r="D565" s="1077" t="s">
        <v>3601</v>
      </c>
      <c r="E565" s="1077" t="s">
        <v>4140</v>
      </c>
      <c r="F565" s="1185">
        <v>1</v>
      </c>
      <c r="G565" s="1186">
        <v>19.3</v>
      </c>
      <c r="H565" s="1186">
        <v>2.2000000000000002</v>
      </c>
      <c r="I565" s="1186">
        <v>24.4</v>
      </c>
      <c r="J565" s="1186">
        <v>2.8</v>
      </c>
      <c r="K565" s="1186">
        <v>30.2</v>
      </c>
      <c r="L565" s="1186">
        <v>3.4</v>
      </c>
      <c r="M565" s="1186">
        <v>37.9</v>
      </c>
      <c r="N565" s="1186">
        <v>4.3</v>
      </c>
      <c r="O565" s="1186">
        <v>47.2</v>
      </c>
      <c r="P565" s="1186">
        <v>5</v>
      </c>
      <c r="Q565" s="1186">
        <v>28.1</v>
      </c>
      <c r="R565" s="1186">
        <v>2.1</v>
      </c>
      <c r="S565" s="1186">
        <v>37.200000000000003</v>
      </c>
      <c r="T565" s="1186">
        <v>2.7</v>
      </c>
      <c r="U565" s="1186">
        <v>44.9</v>
      </c>
      <c r="V565" s="1186">
        <v>3.3</v>
      </c>
      <c r="W565" s="1186"/>
      <c r="X565" s="1186"/>
      <c r="Y565" s="1186"/>
      <c r="Z565" s="1186"/>
      <c r="AA565" s="1186"/>
      <c r="AB565" s="1186"/>
      <c r="AC565" s="1186"/>
      <c r="AD565" s="1187"/>
    </row>
    <row r="566" spans="1:30" x14ac:dyDescent="0.2">
      <c r="A566">
        <f t="shared" si="42"/>
        <v>16</v>
      </c>
      <c r="B566">
        <v>557</v>
      </c>
      <c r="C566" s="1078">
        <v>2</v>
      </c>
      <c r="D566" s="1077" t="s">
        <v>3601</v>
      </c>
      <c r="E566" s="1077" t="s">
        <v>4141</v>
      </c>
      <c r="F566" s="1185">
        <v>1</v>
      </c>
      <c r="G566" s="1186">
        <v>21</v>
      </c>
      <c r="H566" s="1186">
        <v>2.6</v>
      </c>
      <c r="I566" s="1186">
        <v>26.1</v>
      </c>
      <c r="J566" s="1186">
        <v>3</v>
      </c>
      <c r="K566" s="1186">
        <v>33.4</v>
      </c>
      <c r="L566" s="1186">
        <v>3.6</v>
      </c>
      <c r="M566" s="1186">
        <v>39.6</v>
      </c>
      <c r="N566" s="1186">
        <v>4.0999999999999996</v>
      </c>
      <c r="O566" s="1186">
        <v>50</v>
      </c>
      <c r="P566" s="1186">
        <v>4.7</v>
      </c>
      <c r="Q566" s="1186">
        <v>25.7</v>
      </c>
      <c r="R566" s="1186">
        <v>2.2999999999999998</v>
      </c>
      <c r="S566" s="1186">
        <v>37.9</v>
      </c>
      <c r="T566" s="1186">
        <v>2.9</v>
      </c>
      <c r="U566" s="1186">
        <v>47.8</v>
      </c>
      <c r="V566" s="1186">
        <v>3.4</v>
      </c>
      <c r="W566" s="1186"/>
      <c r="X566" s="1186"/>
      <c r="Y566" s="1186"/>
      <c r="Z566" s="1186"/>
      <c r="AA566" s="1186"/>
      <c r="AB566" s="1186"/>
      <c r="AC566" s="1186"/>
      <c r="AD566" s="1187"/>
    </row>
    <row r="567" spans="1:30" x14ac:dyDescent="0.2">
      <c r="A567">
        <f t="shared" si="42"/>
        <v>16</v>
      </c>
      <c r="B567">
        <v>558</v>
      </c>
      <c r="C567" s="1078">
        <v>2</v>
      </c>
      <c r="D567" s="1077" t="s">
        <v>3601</v>
      </c>
      <c r="E567" s="1077" t="s">
        <v>5174</v>
      </c>
      <c r="F567" s="1185">
        <v>4</v>
      </c>
      <c r="G567" s="1186">
        <v>3.53</v>
      </c>
      <c r="H567" s="1186">
        <v>2.31</v>
      </c>
      <c r="I567" s="1186">
        <v>4.5</v>
      </c>
      <c r="J567" s="1186">
        <v>2.9</v>
      </c>
      <c r="K567" s="1186">
        <v>2.8</v>
      </c>
      <c r="L567" s="1186">
        <v>4.0999999999999996</v>
      </c>
      <c r="M567" s="1186">
        <v>3.5</v>
      </c>
      <c r="N567" s="1186">
        <v>5.0999999999999996</v>
      </c>
      <c r="O567" s="1186"/>
      <c r="P567" s="1186"/>
      <c r="Q567" s="1186">
        <v>3.35</v>
      </c>
      <c r="R567" s="1186">
        <v>2</v>
      </c>
      <c r="S567" s="1186">
        <v>2.95</v>
      </c>
      <c r="T567" s="1186">
        <v>2.7</v>
      </c>
      <c r="U567" s="1186"/>
      <c r="V567" s="1186"/>
      <c r="W567" s="1186"/>
      <c r="X567" s="1186"/>
      <c r="Y567" s="1186"/>
      <c r="Z567" s="1186"/>
      <c r="AA567" s="1186"/>
      <c r="AB567" s="1186"/>
      <c r="AC567" s="1186"/>
      <c r="AD567" s="1187"/>
    </row>
    <row r="568" spans="1:30" x14ac:dyDescent="0.2">
      <c r="A568">
        <f t="shared" si="42"/>
        <v>16</v>
      </c>
      <c r="B568">
        <v>559</v>
      </c>
      <c r="C568" s="1078">
        <v>2</v>
      </c>
      <c r="D568" s="1077" t="s">
        <v>3601</v>
      </c>
      <c r="E568" s="1077" t="s">
        <v>5175</v>
      </c>
      <c r="F568" s="1185">
        <v>4</v>
      </c>
      <c r="G568" s="1186">
        <v>4.4000000000000004</v>
      </c>
      <c r="H568" s="1186">
        <v>2.16</v>
      </c>
      <c r="I568" s="1186">
        <v>5.2</v>
      </c>
      <c r="J568" s="1186">
        <v>2.7</v>
      </c>
      <c r="K568" s="1186">
        <v>3.4</v>
      </c>
      <c r="L568" s="1186">
        <v>3.75</v>
      </c>
      <c r="M568" s="1186">
        <v>5</v>
      </c>
      <c r="N568" s="1186">
        <v>5</v>
      </c>
      <c r="O568" s="1186"/>
      <c r="P568" s="1186"/>
      <c r="Q568" s="1186">
        <v>4.6500000000000004</v>
      </c>
      <c r="R568" s="1186">
        <v>2.0499999999999998</v>
      </c>
      <c r="S568" s="1186">
        <v>3.8</v>
      </c>
      <c r="T568" s="1186">
        <v>2.8</v>
      </c>
      <c r="U568" s="1186"/>
      <c r="V568" s="1186"/>
      <c r="W568" s="1186"/>
      <c r="X568" s="1186"/>
      <c r="Y568" s="1186"/>
      <c r="Z568" s="1186"/>
      <c r="AA568" s="1186"/>
      <c r="AB568" s="1186"/>
      <c r="AC568" s="1186"/>
      <c r="AD568" s="1187"/>
    </row>
    <row r="569" spans="1:30" x14ac:dyDescent="0.2">
      <c r="A569">
        <f t="shared" si="42"/>
        <v>16</v>
      </c>
      <c r="B569">
        <v>560</v>
      </c>
      <c r="C569" s="1078">
        <v>2</v>
      </c>
      <c r="D569" s="1077" t="s">
        <v>3601</v>
      </c>
      <c r="E569" s="1077" t="s">
        <v>5176</v>
      </c>
      <c r="F569" s="1185">
        <v>4</v>
      </c>
      <c r="G569" s="1186">
        <v>6.94</v>
      </c>
      <c r="H569" s="1186">
        <v>2.2200000000000002</v>
      </c>
      <c r="I569" s="1186">
        <v>8.5</v>
      </c>
      <c r="J569" s="1186">
        <v>2.7</v>
      </c>
      <c r="K569" s="1186">
        <v>4.91</v>
      </c>
      <c r="L569" s="1186">
        <v>4.05</v>
      </c>
      <c r="M569" s="1186">
        <v>8</v>
      </c>
      <c r="N569" s="1186">
        <v>4.8</v>
      </c>
      <c r="O569" s="1186"/>
      <c r="P569" s="1186"/>
      <c r="Q569" s="1186">
        <v>6.6</v>
      </c>
      <c r="R569" s="1186">
        <v>2.1</v>
      </c>
      <c r="S569" s="1186">
        <v>5.8</v>
      </c>
      <c r="T569" s="1186">
        <v>2.95</v>
      </c>
      <c r="U569" s="1186"/>
      <c r="V569" s="1186"/>
      <c r="W569" s="1186"/>
      <c r="X569" s="1186"/>
      <c r="Y569" s="1186"/>
      <c r="Z569" s="1186"/>
      <c r="AA569" s="1186"/>
      <c r="AB569" s="1186"/>
      <c r="AC569" s="1186"/>
      <c r="AD569" s="1187"/>
    </row>
    <row r="570" spans="1:30" x14ac:dyDescent="0.2">
      <c r="A570">
        <f t="shared" si="42"/>
        <v>16</v>
      </c>
      <c r="B570">
        <v>561</v>
      </c>
      <c r="C570" s="1078">
        <v>2</v>
      </c>
      <c r="D570" s="1077" t="s">
        <v>3601</v>
      </c>
      <c r="E570" s="1077" t="s">
        <v>5274</v>
      </c>
      <c r="F570" s="1185">
        <v>4</v>
      </c>
      <c r="G570" s="1186">
        <v>7.6</v>
      </c>
      <c r="H570" s="1186">
        <v>1.6</v>
      </c>
      <c r="I570" s="1186">
        <v>11</v>
      </c>
      <c r="J570" s="1186">
        <v>2.7</v>
      </c>
      <c r="K570" s="1186">
        <v>6.7</v>
      </c>
      <c r="L570" s="1186">
        <v>3.9</v>
      </c>
      <c r="M570" s="1186">
        <v>12</v>
      </c>
      <c r="N570" s="1186">
        <v>4.7</v>
      </c>
      <c r="O570" s="1186"/>
      <c r="P570" s="1186"/>
      <c r="Q570" s="1186">
        <v>8.3000000000000007</v>
      </c>
      <c r="R570" s="1186">
        <v>2.1</v>
      </c>
      <c r="S570" s="1186">
        <v>7.7</v>
      </c>
      <c r="T570" s="1186">
        <v>3.1</v>
      </c>
      <c r="U570" s="1186">
        <v>8</v>
      </c>
      <c r="V570" s="1186">
        <v>4.0999999999999996</v>
      </c>
      <c r="W570" s="1186"/>
      <c r="X570" s="1186"/>
      <c r="Y570" s="1186"/>
      <c r="Z570" s="1186"/>
      <c r="AA570" s="1186"/>
      <c r="AB570" s="1186"/>
      <c r="AC570" s="1186"/>
      <c r="AD570" s="1187"/>
    </row>
    <row r="571" spans="1:30" x14ac:dyDescent="0.2">
      <c r="A571">
        <f t="shared" si="42"/>
        <v>16</v>
      </c>
      <c r="B571">
        <v>562</v>
      </c>
      <c r="C571" s="1078">
        <v>2</v>
      </c>
      <c r="D571" s="1077" t="s">
        <v>3601</v>
      </c>
      <c r="E571" s="1077" t="s">
        <v>5275</v>
      </c>
      <c r="F571" s="1185">
        <v>4</v>
      </c>
      <c r="G571" s="1186">
        <v>8.6999999999999993</v>
      </c>
      <c r="H571" s="1186">
        <v>1.5</v>
      </c>
      <c r="I571" s="1186">
        <v>12.3</v>
      </c>
      <c r="J571" s="1186">
        <v>2.5</v>
      </c>
      <c r="K571" s="1186">
        <v>7.8</v>
      </c>
      <c r="L571" s="1186">
        <v>3.7</v>
      </c>
      <c r="M571" s="1186">
        <v>15</v>
      </c>
      <c r="N571" s="1186">
        <v>4.5</v>
      </c>
      <c r="O571" s="1186"/>
      <c r="P571" s="1186"/>
      <c r="Q571" s="1186">
        <v>10.1</v>
      </c>
      <c r="R571" s="1186">
        <v>2.1</v>
      </c>
      <c r="S571" s="1186">
        <v>9.1999999999999993</v>
      </c>
      <c r="T571" s="1186">
        <v>3.1</v>
      </c>
      <c r="U571" s="1186">
        <v>9.6999999999999993</v>
      </c>
      <c r="V571" s="1186">
        <v>3.8</v>
      </c>
      <c r="W571" s="1186"/>
      <c r="X571" s="1186"/>
      <c r="Y571" s="1186"/>
      <c r="Z571" s="1186"/>
      <c r="AA571" s="1186"/>
      <c r="AB571" s="1186"/>
      <c r="AC571" s="1186"/>
      <c r="AD571" s="1187"/>
    </row>
    <row r="572" spans="1:30" x14ac:dyDescent="0.2">
      <c r="A572">
        <f t="shared" si="42"/>
        <v>16</v>
      </c>
      <c r="B572">
        <v>563</v>
      </c>
      <c r="C572" s="1078">
        <v>3</v>
      </c>
      <c r="D572" s="1077" t="s">
        <v>3601</v>
      </c>
      <c r="E572" s="1077" t="s">
        <v>4142</v>
      </c>
      <c r="F572" s="1185">
        <v>1</v>
      </c>
      <c r="G572" s="1186"/>
      <c r="H572" s="1186"/>
      <c r="I572" s="1186"/>
      <c r="J572" s="1186"/>
      <c r="K572" s="1186"/>
      <c r="L572" s="1186"/>
      <c r="M572" s="1186"/>
      <c r="N572" s="1186"/>
      <c r="O572" s="1186"/>
      <c r="P572" s="1186"/>
      <c r="Q572" s="1186"/>
      <c r="R572" s="1186"/>
      <c r="S572" s="1186"/>
      <c r="T572" s="1186"/>
      <c r="U572" s="1186"/>
      <c r="V572" s="1186"/>
      <c r="W572" s="1186">
        <v>21</v>
      </c>
      <c r="X572" s="1186">
        <v>4.5999999999999996</v>
      </c>
      <c r="Y572" s="1186">
        <v>20.399999999999999</v>
      </c>
      <c r="Z572" s="1186">
        <v>2.9</v>
      </c>
      <c r="AA572" s="1186"/>
      <c r="AB572" s="1186"/>
      <c r="AC572" s="1186"/>
      <c r="AD572" s="1187"/>
    </row>
    <row r="573" spans="1:30" x14ac:dyDescent="0.2">
      <c r="A573">
        <f t="shared" si="42"/>
        <v>16</v>
      </c>
      <c r="B573">
        <v>564</v>
      </c>
      <c r="C573" s="1078">
        <v>3</v>
      </c>
      <c r="D573" s="1077" t="s">
        <v>3601</v>
      </c>
      <c r="E573" s="1077" t="s">
        <v>4143</v>
      </c>
      <c r="F573" s="1185">
        <v>1</v>
      </c>
      <c r="G573" s="1186"/>
      <c r="H573" s="1186"/>
      <c r="I573" s="1186"/>
      <c r="J573" s="1186"/>
      <c r="K573" s="1186"/>
      <c r="L573" s="1186"/>
      <c r="M573" s="1186"/>
      <c r="N573" s="1186"/>
      <c r="O573" s="1186"/>
      <c r="P573" s="1186"/>
      <c r="Q573" s="1186"/>
      <c r="R573" s="1186"/>
      <c r="S573" s="1186"/>
      <c r="T573" s="1186"/>
      <c r="U573" s="1186"/>
      <c r="V573" s="1186"/>
      <c r="W573" s="1186">
        <v>28.7</v>
      </c>
      <c r="X573" s="1186">
        <v>4.4000000000000004</v>
      </c>
      <c r="Y573" s="1186">
        <v>24.8</v>
      </c>
      <c r="Z573" s="1186">
        <v>2.7</v>
      </c>
      <c r="AA573" s="1186"/>
      <c r="AB573" s="1186"/>
      <c r="AC573" s="1186"/>
      <c r="AD573" s="1187"/>
    </row>
    <row r="574" spans="1:30" x14ac:dyDescent="0.2">
      <c r="A574">
        <f t="shared" si="42"/>
        <v>16</v>
      </c>
      <c r="B574">
        <v>565</v>
      </c>
      <c r="C574" s="1078">
        <v>3</v>
      </c>
      <c r="D574" s="1077" t="s">
        <v>3601</v>
      </c>
      <c r="E574" s="1077" t="s">
        <v>4144</v>
      </c>
      <c r="F574" s="1185">
        <v>1</v>
      </c>
      <c r="G574" s="1186"/>
      <c r="H574" s="1186"/>
      <c r="I574" s="1186"/>
      <c r="J574" s="1186"/>
      <c r="K574" s="1186"/>
      <c r="L574" s="1186"/>
      <c r="M574" s="1186"/>
      <c r="N574" s="1186"/>
      <c r="O574" s="1186"/>
      <c r="P574" s="1186"/>
      <c r="Q574" s="1186"/>
      <c r="R574" s="1186"/>
      <c r="S574" s="1186"/>
      <c r="T574" s="1186"/>
      <c r="U574" s="1186"/>
      <c r="V574" s="1186"/>
      <c r="W574" s="1186">
        <v>36.700000000000003</v>
      </c>
      <c r="X574" s="1186">
        <v>4.4000000000000004</v>
      </c>
      <c r="Y574" s="1186">
        <v>30.6</v>
      </c>
      <c r="Z574" s="1186">
        <v>2.8</v>
      </c>
      <c r="AA574" s="1186"/>
      <c r="AB574" s="1186"/>
      <c r="AC574" s="1186"/>
      <c r="AD574" s="1187"/>
    </row>
    <row r="575" spans="1:30" x14ac:dyDescent="0.2">
      <c r="A575">
        <f t="shared" si="42"/>
        <v>16</v>
      </c>
      <c r="B575">
        <v>566</v>
      </c>
      <c r="C575" s="1078">
        <v>3</v>
      </c>
      <c r="D575" s="1077" t="s">
        <v>3601</v>
      </c>
      <c r="E575" s="1077" t="s">
        <v>4145</v>
      </c>
      <c r="F575" s="1185">
        <v>1</v>
      </c>
      <c r="G575" s="1186"/>
      <c r="H575" s="1186"/>
      <c r="I575" s="1186"/>
      <c r="J575" s="1186"/>
      <c r="K575" s="1186"/>
      <c r="L575" s="1186"/>
      <c r="M575" s="1186"/>
      <c r="N575" s="1186"/>
      <c r="O575" s="1186"/>
      <c r="P575" s="1186"/>
      <c r="Q575" s="1186"/>
      <c r="R575" s="1186"/>
      <c r="S575" s="1186"/>
      <c r="T575" s="1186"/>
      <c r="U575" s="1186"/>
      <c r="V575" s="1186"/>
      <c r="W575" s="1186">
        <v>44.4</v>
      </c>
      <c r="X575" s="1186">
        <v>4.4000000000000004</v>
      </c>
      <c r="Y575" s="1186">
        <v>41.3</v>
      </c>
      <c r="Z575" s="1186">
        <v>3.1</v>
      </c>
      <c r="AA575" s="1186"/>
      <c r="AB575" s="1186"/>
      <c r="AC575" s="1186"/>
      <c r="AD575" s="1187"/>
    </row>
    <row r="576" spans="1:30" x14ac:dyDescent="0.2">
      <c r="A576">
        <f t="shared" si="42"/>
        <v>16</v>
      </c>
      <c r="B576">
        <v>567</v>
      </c>
      <c r="C576" s="1078">
        <v>4</v>
      </c>
      <c r="D576" s="1077" t="s">
        <v>3601</v>
      </c>
      <c r="E576" s="1077" t="s">
        <v>4142</v>
      </c>
      <c r="F576" s="1185">
        <v>1</v>
      </c>
      <c r="G576" s="1186"/>
      <c r="H576" s="1186"/>
      <c r="I576" s="1186"/>
      <c r="J576" s="1186"/>
      <c r="K576" s="1186"/>
      <c r="L576" s="1186"/>
      <c r="M576" s="1186"/>
      <c r="N576" s="1186"/>
      <c r="O576" s="1186"/>
      <c r="P576" s="1186"/>
      <c r="Q576" s="1186"/>
      <c r="R576" s="1186"/>
      <c r="S576" s="1186"/>
      <c r="T576" s="1186"/>
      <c r="U576" s="1186"/>
      <c r="V576" s="1186"/>
      <c r="W576" s="1186"/>
      <c r="X576" s="1186"/>
      <c r="Y576" s="1186"/>
      <c r="Z576" s="1186"/>
      <c r="AA576" s="1186">
        <v>25.9</v>
      </c>
      <c r="AB576" s="1186">
        <v>5.5</v>
      </c>
      <c r="AC576" s="1186">
        <v>25.6</v>
      </c>
      <c r="AD576" s="1187">
        <v>3.5</v>
      </c>
    </row>
    <row r="577" spans="1:30" x14ac:dyDescent="0.2">
      <c r="A577">
        <f t="shared" si="42"/>
        <v>16</v>
      </c>
      <c r="B577">
        <v>568</v>
      </c>
      <c r="C577" s="1078">
        <v>4</v>
      </c>
      <c r="D577" s="1077" t="s">
        <v>3601</v>
      </c>
      <c r="E577" s="1077" t="s">
        <v>4143</v>
      </c>
      <c r="F577" s="1185">
        <v>1</v>
      </c>
      <c r="G577" s="1186"/>
      <c r="H577" s="1186"/>
      <c r="I577" s="1186"/>
      <c r="J577" s="1186"/>
      <c r="K577" s="1186"/>
      <c r="L577" s="1186"/>
      <c r="M577" s="1186"/>
      <c r="N577" s="1186"/>
      <c r="O577" s="1186"/>
      <c r="P577" s="1186"/>
      <c r="Q577" s="1186"/>
      <c r="R577" s="1186"/>
      <c r="S577" s="1186"/>
      <c r="T577" s="1186"/>
      <c r="U577" s="1186"/>
      <c r="V577" s="1186"/>
      <c r="W577" s="1186"/>
      <c r="X577" s="1186"/>
      <c r="Y577" s="1186"/>
      <c r="Z577" s="1186"/>
      <c r="AA577" s="1186">
        <v>37.200000000000003</v>
      </c>
      <c r="AB577" s="1186">
        <v>5.4</v>
      </c>
      <c r="AC577" s="1186">
        <v>34.200000000000003</v>
      </c>
      <c r="AD577" s="1187">
        <v>3.5</v>
      </c>
    </row>
    <row r="578" spans="1:30" x14ac:dyDescent="0.2">
      <c r="A578">
        <f t="shared" si="42"/>
        <v>16</v>
      </c>
      <c r="B578">
        <v>569</v>
      </c>
      <c r="C578" s="1081">
        <v>4</v>
      </c>
      <c r="D578" s="1082" t="s">
        <v>3601</v>
      </c>
      <c r="E578" s="1082" t="s">
        <v>4144</v>
      </c>
      <c r="F578" s="1188">
        <v>1</v>
      </c>
      <c r="G578" s="1189"/>
      <c r="H578" s="1189"/>
      <c r="I578" s="1189"/>
      <c r="J578" s="1189"/>
      <c r="K578" s="1189"/>
      <c r="L578" s="1189"/>
      <c r="M578" s="1189"/>
      <c r="N578" s="1189"/>
      <c r="O578" s="1189"/>
      <c r="P578" s="1189"/>
      <c r="Q578" s="1189"/>
      <c r="R578" s="1189"/>
      <c r="S578" s="1189"/>
      <c r="T578" s="1189"/>
      <c r="U578" s="1189"/>
      <c r="V578" s="1189"/>
      <c r="W578" s="1189"/>
      <c r="X578" s="1189"/>
      <c r="Y578" s="1189"/>
      <c r="Z578" s="1189"/>
      <c r="AA578" s="1189">
        <v>48.9</v>
      </c>
      <c r="AB578" s="1189">
        <v>5.3</v>
      </c>
      <c r="AC578" s="1189">
        <v>46</v>
      </c>
      <c r="AD578" s="1194">
        <v>3.7</v>
      </c>
    </row>
    <row r="579" spans="1:30" x14ac:dyDescent="0.2">
      <c r="A579">
        <f t="shared" si="42"/>
        <v>16</v>
      </c>
      <c r="B579">
        <v>570</v>
      </c>
      <c r="C579" s="1190">
        <v>4</v>
      </c>
      <c r="D579" s="1191" t="s">
        <v>3601</v>
      </c>
      <c r="E579" s="1191" t="s">
        <v>4145</v>
      </c>
      <c r="F579" s="1192">
        <v>1</v>
      </c>
      <c r="G579" s="1193"/>
      <c r="H579" s="1193"/>
      <c r="I579" s="1193"/>
      <c r="J579" s="1193"/>
      <c r="K579" s="1193"/>
      <c r="L579" s="1193"/>
      <c r="M579" s="1193"/>
      <c r="N579" s="1193"/>
      <c r="O579" s="1193"/>
      <c r="P579" s="1193"/>
      <c r="Q579" s="1193"/>
      <c r="R579" s="1193"/>
      <c r="S579" s="1193"/>
      <c r="T579" s="1193"/>
      <c r="U579" s="1193"/>
      <c r="V579" s="1193"/>
      <c r="W579" s="1193"/>
      <c r="X579" s="1193"/>
      <c r="Y579" s="1193"/>
      <c r="Z579" s="1193"/>
      <c r="AA579" s="1193">
        <v>58.6</v>
      </c>
      <c r="AB579" s="1193">
        <v>5.2</v>
      </c>
      <c r="AC579" s="1193">
        <v>54.5</v>
      </c>
      <c r="AD579" s="1195">
        <v>3.6</v>
      </c>
    </row>
    <row r="580" spans="1:30" x14ac:dyDescent="0.2">
      <c r="A580">
        <f t="shared" si="42"/>
        <v>16</v>
      </c>
      <c r="B580">
        <v>571</v>
      </c>
      <c r="C580" s="1081">
        <v>3</v>
      </c>
      <c r="D580" s="1082" t="s">
        <v>3601</v>
      </c>
      <c r="E580" s="1082" t="s">
        <v>4569</v>
      </c>
      <c r="F580" s="1188">
        <v>1</v>
      </c>
      <c r="G580" s="1189"/>
      <c r="H580" s="1189"/>
      <c r="I580" s="1189"/>
      <c r="J580" s="1189"/>
      <c r="K580" s="1189"/>
      <c r="L580" s="1189"/>
      <c r="M580" s="1189"/>
      <c r="N580" s="1189"/>
      <c r="O580" s="1189"/>
      <c r="P580" s="1189"/>
      <c r="Q580" s="1189"/>
      <c r="R580" s="1189"/>
      <c r="S580" s="1189"/>
      <c r="T580" s="1189"/>
      <c r="U580" s="1189"/>
      <c r="V580" s="1189"/>
      <c r="W580" s="1189">
        <v>5.6</v>
      </c>
      <c r="X580" s="1189">
        <v>4.59</v>
      </c>
      <c r="Y580" s="1189">
        <v>4.7300000000000004</v>
      </c>
      <c r="Z580" s="1189">
        <v>2.57</v>
      </c>
      <c r="AA580" s="1189"/>
      <c r="AB580" s="1189"/>
      <c r="AC580" s="1189"/>
      <c r="AD580" s="1194"/>
    </row>
    <row r="581" spans="1:30" x14ac:dyDescent="0.2">
      <c r="A581">
        <f t="shared" si="42"/>
        <v>16</v>
      </c>
      <c r="B581">
        <v>572</v>
      </c>
      <c r="C581" s="1190">
        <v>3</v>
      </c>
      <c r="D581" s="1191" t="s">
        <v>3601</v>
      </c>
      <c r="E581" s="1191" t="s">
        <v>4570</v>
      </c>
      <c r="F581" s="1192">
        <v>1</v>
      </c>
      <c r="G581" s="1193"/>
      <c r="H581" s="1193"/>
      <c r="I581" s="1193"/>
      <c r="J581" s="1193"/>
      <c r="K581" s="1193"/>
      <c r="L581" s="1193"/>
      <c r="M581" s="1193"/>
      <c r="N581" s="1193"/>
      <c r="O581" s="1193"/>
      <c r="P581" s="1193"/>
      <c r="Q581" s="1193"/>
      <c r="R581" s="1193"/>
      <c r="S581" s="1193"/>
      <c r="T581" s="1193"/>
      <c r="U581" s="1193"/>
      <c r="V581" s="1193"/>
      <c r="W581" s="1193">
        <v>7.87</v>
      </c>
      <c r="X581" s="1193">
        <v>5.42</v>
      </c>
      <c r="Y581" s="1193">
        <v>6.97</v>
      </c>
      <c r="Z581" s="1193">
        <v>3.31</v>
      </c>
      <c r="AA581" s="1193"/>
      <c r="AB581" s="1193"/>
      <c r="AC581" s="1193"/>
      <c r="AD581" s="1195"/>
    </row>
    <row r="582" spans="1:30" x14ac:dyDescent="0.2">
      <c r="A582">
        <f t="shared" si="42"/>
        <v>16</v>
      </c>
      <c r="B582">
        <v>573</v>
      </c>
      <c r="C582" s="1078">
        <v>3</v>
      </c>
      <c r="D582" s="1077" t="s">
        <v>3601</v>
      </c>
      <c r="E582" s="1077" t="s">
        <v>4571</v>
      </c>
      <c r="F582" s="1185">
        <v>1</v>
      </c>
      <c r="G582" s="1186"/>
      <c r="H582" s="1186"/>
      <c r="I582" s="1186"/>
      <c r="J582" s="1186"/>
      <c r="K582" s="1186"/>
      <c r="L582" s="1186"/>
      <c r="M582" s="1186"/>
      <c r="N582" s="1186" t="s">
        <v>718</v>
      </c>
      <c r="O582" s="1186"/>
      <c r="P582" s="1186"/>
      <c r="Q582" s="1186"/>
      <c r="R582" s="1186"/>
      <c r="S582" s="1186"/>
      <c r="T582" s="1186"/>
      <c r="U582" s="1186"/>
      <c r="V582" s="1186"/>
      <c r="W582" s="1186">
        <v>10.49</v>
      </c>
      <c r="X582" s="1186">
        <v>4.97</v>
      </c>
      <c r="Y582" s="1186">
        <v>9.6</v>
      </c>
      <c r="Z582" s="1186">
        <v>2.9</v>
      </c>
      <c r="AA582" s="1186"/>
      <c r="AB582" s="1186"/>
      <c r="AC582" s="1186"/>
      <c r="AD582" s="1187"/>
    </row>
    <row r="583" spans="1:30" x14ac:dyDescent="0.2">
      <c r="A583">
        <f t="shared" si="42"/>
        <v>16</v>
      </c>
      <c r="B583">
        <v>574</v>
      </c>
      <c r="C583" s="1078">
        <v>3</v>
      </c>
      <c r="D583" s="1077" t="s">
        <v>3601</v>
      </c>
      <c r="E583" s="1077" t="s">
        <v>4572</v>
      </c>
      <c r="F583" s="1185">
        <v>1</v>
      </c>
      <c r="G583" s="1186"/>
      <c r="H583" s="1186"/>
      <c r="I583" s="1186"/>
      <c r="J583" s="1186"/>
      <c r="K583" s="1186"/>
      <c r="L583" s="1186"/>
      <c r="M583" s="1186"/>
      <c r="N583" s="1186"/>
      <c r="O583" s="1186"/>
      <c r="P583" s="1186"/>
      <c r="Q583" s="1186"/>
      <c r="R583" s="1186"/>
      <c r="S583" s="1186"/>
      <c r="T583" s="1186"/>
      <c r="U583" s="1186"/>
      <c r="V583" s="1186"/>
      <c r="W583" s="1186">
        <v>13.47</v>
      </c>
      <c r="X583" s="1186">
        <v>4.9400000000000004</v>
      </c>
      <c r="Y583" s="1186">
        <v>12.09</v>
      </c>
      <c r="Z583" s="1186">
        <v>2.79</v>
      </c>
      <c r="AA583" s="1186"/>
      <c r="AB583" s="1186"/>
      <c r="AC583" s="1186"/>
      <c r="AD583" s="1187"/>
    </row>
    <row r="584" spans="1:30" x14ac:dyDescent="0.2">
      <c r="A584">
        <f t="shared" si="42"/>
        <v>16</v>
      </c>
      <c r="B584">
        <v>575</v>
      </c>
      <c r="C584" s="1078">
        <v>3</v>
      </c>
      <c r="D584" s="1077" t="s">
        <v>3601</v>
      </c>
      <c r="E584" s="1077" t="s">
        <v>4573</v>
      </c>
      <c r="F584" s="1185">
        <v>1</v>
      </c>
      <c r="G584" s="1186"/>
      <c r="H584" s="1186"/>
      <c r="I584" s="1186"/>
      <c r="J584" s="1186"/>
      <c r="K584" s="1186"/>
      <c r="L584" s="1186"/>
      <c r="M584" s="1186"/>
      <c r="N584" s="1186"/>
      <c r="O584" s="1186"/>
      <c r="P584" s="1186"/>
      <c r="Q584" s="1186"/>
      <c r="R584" s="1186"/>
      <c r="S584" s="1186"/>
      <c r="T584" s="1186"/>
      <c r="U584" s="1186"/>
      <c r="V584" s="1186"/>
      <c r="W584" s="1186">
        <v>16.829999999999998</v>
      </c>
      <c r="X584" s="1186">
        <v>4.8899999999999997</v>
      </c>
      <c r="Y584" s="1186">
        <v>15.2</v>
      </c>
      <c r="Z584" s="1186">
        <v>2.78</v>
      </c>
      <c r="AA584" s="1186"/>
      <c r="AB584" s="1186"/>
      <c r="AC584" s="1186"/>
      <c r="AD584" s="1187"/>
    </row>
    <row r="585" spans="1:30" x14ac:dyDescent="0.2">
      <c r="A585">
        <f t="shared" si="42"/>
        <v>16</v>
      </c>
      <c r="B585">
        <v>576</v>
      </c>
      <c r="C585" s="1078">
        <v>4</v>
      </c>
      <c r="D585" s="1077" t="s">
        <v>3601</v>
      </c>
      <c r="E585" s="1077" t="s">
        <v>4569</v>
      </c>
      <c r="F585" s="1185">
        <v>1</v>
      </c>
      <c r="G585" s="1186"/>
      <c r="H585" s="1186"/>
      <c r="I585" s="1186"/>
      <c r="J585" s="1186"/>
      <c r="K585" s="1186"/>
      <c r="L585" s="1186"/>
      <c r="M585" s="1186"/>
      <c r="N585" s="1186"/>
      <c r="O585" s="1186"/>
      <c r="P585" s="1186"/>
      <c r="Q585" s="1186"/>
      <c r="R585" s="1186"/>
      <c r="S585" s="1186"/>
      <c r="T585" s="1186"/>
      <c r="U585" s="1186"/>
      <c r="V585" s="1186"/>
      <c r="W585" s="1186"/>
      <c r="X585" s="1186"/>
      <c r="Y585" s="1186"/>
      <c r="Z585" s="1186"/>
      <c r="AA585" s="1186">
        <v>6.85</v>
      </c>
      <c r="AB585" s="1186">
        <v>5.61</v>
      </c>
      <c r="AC585" s="1186">
        <v>6.07</v>
      </c>
      <c r="AD585" s="1187">
        <v>3.32</v>
      </c>
    </row>
    <row r="586" spans="1:30" x14ac:dyDescent="0.2">
      <c r="A586">
        <f t="shared" si="42"/>
        <v>16</v>
      </c>
      <c r="B586">
        <v>577</v>
      </c>
      <c r="C586" s="1078">
        <v>4</v>
      </c>
      <c r="D586" s="1077" t="s">
        <v>3601</v>
      </c>
      <c r="E586" s="1077" t="s">
        <v>4570</v>
      </c>
      <c r="F586" s="1185">
        <v>1</v>
      </c>
      <c r="G586" s="1186"/>
      <c r="H586" s="1186"/>
      <c r="I586" s="1186"/>
      <c r="J586" s="1186"/>
      <c r="K586" s="1186"/>
      <c r="L586" s="1186"/>
      <c r="M586" s="1186"/>
      <c r="N586" s="1186"/>
      <c r="O586" s="1186"/>
      <c r="P586" s="1186"/>
      <c r="Q586" s="1186"/>
      <c r="R586" s="1186"/>
      <c r="S586" s="1186"/>
      <c r="T586" s="1186"/>
      <c r="U586" s="1186"/>
      <c r="V586" s="1186"/>
      <c r="W586" s="1186"/>
      <c r="X586" s="1186"/>
      <c r="Y586" s="1186"/>
      <c r="Z586" s="1186"/>
      <c r="AA586" s="1186">
        <v>9.6</v>
      </c>
      <c r="AB586" s="1186">
        <v>5.42</v>
      </c>
      <c r="AC586" s="1186">
        <v>8.85</v>
      </c>
      <c r="AD586" s="1187">
        <v>3.31</v>
      </c>
    </row>
    <row r="587" spans="1:30" x14ac:dyDescent="0.2">
      <c r="A587">
        <f t="shared" si="42"/>
        <v>16</v>
      </c>
      <c r="B587">
        <v>578</v>
      </c>
      <c r="C587" s="1078">
        <v>4</v>
      </c>
      <c r="D587" s="1077" t="s">
        <v>3601</v>
      </c>
      <c r="E587" s="1077" t="s">
        <v>4571</v>
      </c>
      <c r="F587" s="1185">
        <v>1</v>
      </c>
      <c r="G587" s="1186"/>
      <c r="H587" s="1186"/>
      <c r="I587" s="1186"/>
      <c r="J587" s="1186"/>
      <c r="K587" s="1186"/>
      <c r="L587" s="1186"/>
      <c r="M587" s="1186"/>
      <c r="N587" s="1186" t="s">
        <v>718</v>
      </c>
      <c r="O587" s="1186"/>
      <c r="P587" s="1186"/>
      <c r="Q587" s="1186"/>
      <c r="R587" s="1186"/>
      <c r="S587" s="1186"/>
      <c r="T587" s="1186"/>
      <c r="U587" s="1186"/>
      <c r="V587" s="1186"/>
      <c r="W587" s="1186"/>
      <c r="X587" s="1186"/>
      <c r="Y587" s="1186"/>
      <c r="Z587" s="1186"/>
      <c r="AA587" s="1186">
        <v>13.2</v>
      </c>
      <c r="AB587" s="1186">
        <v>5.84</v>
      </c>
      <c r="AC587" s="1186">
        <v>12.3</v>
      </c>
      <c r="AD587" s="1187">
        <v>3.63</v>
      </c>
    </row>
    <row r="588" spans="1:30" x14ac:dyDescent="0.2">
      <c r="A588">
        <f t="shared" ref="A588:A651" si="43">A587+(D588&lt;&gt;D587)*1</f>
        <v>16</v>
      </c>
      <c r="B588">
        <v>579</v>
      </c>
      <c r="C588" s="1078">
        <v>4</v>
      </c>
      <c r="D588" s="1077" t="s">
        <v>3601</v>
      </c>
      <c r="E588" s="1077" t="s">
        <v>4572</v>
      </c>
      <c r="F588" s="1185">
        <v>1</v>
      </c>
      <c r="G588" s="1186"/>
      <c r="H588" s="1186"/>
      <c r="I588" s="1186"/>
      <c r="J588" s="1186"/>
      <c r="K588" s="1186"/>
      <c r="L588" s="1186"/>
      <c r="M588" s="1186"/>
      <c r="N588" s="1186"/>
      <c r="O588" s="1186"/>
      <c r="P588" s="1186"/>
      <c r="Q588" s="1186"/>
      <c r="R588" s="1186"/>
      <c r="S588" s="1186"/>
      <c r="T588" s="1186"/>
      <c r="U588" s="1186"/>
      <c r="V588" s="1186"/>
      <c r="W588" s="1186"/>
      <c r="X588" s="1186"/>
      <c r="Y588" s="1186"/>
      <c r="Z588" s="1186"/>
      <c r="AA588" s="1186">
        <v>16.600000000000001</v>
      </c>
      <c r="AB588" s="1186">
        <v>5.76</v>
      </c>
      <c r="AC588" s="1186">
        <v>15.3</v>
      </c>
      <c r="AD588" s="1187">
        <v>3.53</v>
      </c>
    </row>
    <row r="589" spans="1:30" x14ac:dyDescent="0.2">
      <c r="A589">
        <f t="shared" si="43"/>
        <v>16</v>
      </c>
      <c r="B589">
        <v>580</v>
      </c>
      <c r="C589" s="1078">
        <v>4</v>
      </c>
      <c r="D589" s="1077" t="s">
        <v>3601</v>
      </c>
      <c r="E589" s="1077" t="s">
        <v>4573</v>
      </c>
      <c r="F589" s="1185">
        <v>1</v>
      </c>
      <c r="G589" s="1186"/>
      <c r="H589" s="1186"/>
      <c r="I589" s="1186"/>
      <c r="J589" s="1186"/>
      <c r="K589" s="1186"/>
      <c r="L589" s="1186"/>
      <c r="M589" s="1186"/>
      <c r="N589" s="1186"/>
      <c r="O589" s="1186"/>
      <c r="P589" s="1186"/>
      <c r="Q589" s="1186"/>
      <c r="R589" s="1186"/>
      <c r="S589" s="1186"/>
      <c r="T589" s="1186"/>
      <c r="U589" s="1186"/>
      <c r="V589" s="1186"/>
      <c r="W589" s="1186"/>
      <c r="X589" s="1186"/>
      <c r="Y589" s="1186"/>
      <c r="Z589" s="1186"/>
      <c r="AA589" s="1186">
        <v>20.9</v>
      </c>
      <c r="AB589" s="1186">
        <v>5.77</v>
      </c>
      <c r="AC589" s="1186">
        <v>19.3</v>
      </c>
      <c r="AD589" s="1187">
        <v>3.54</v>
      </c>
    </row>
    <row r="590" spans="1:30" x14ac:dyDescent="0.2">
      <c r="A590">
        <f t="shared" si="43"/>
        <v>17</v>
      </c>
      <c r="B590">
        <v>581</v>
      </c>
      <c r="C590" s="1078">
        <v>2</v>
      </c>
      <c r="D590" s="1077" t="s">
        <v>4606</v>
      </c>
      <c r="E590" s="1077" t="s">
        <v>4921</v>
      </c>
      <c r="F590" s="1185">
        <v>4</v>
      </c>
      <c r="G590" s="1186"/>
      <c r="H590" s="1186"/>
      <c r="I590" s="1186">
        <v>4.5</v>
      </c>
      <c r="J590" s="1186">
        <v>3.1</v>
      </c>
      <c r="K590" s="1186">
        <v>3.5</v>
      </c>
      <c r="L590" s="1186">
        <v>4.0999999999999996</v>
      </c>
      <c r="M590" s="1186">
        <v>4.3</v>
      </c>
      <c r="N590" s="1186">
        <v>5.0999999999999996</v>
      </c>
      <c r="O590" s="1186"/>
      <c r="P590" s="1186"/>
      <c r="Q590" s="1186">
        <v>4.2</v>
      </c>
      <c r="R590" s="1186">
        <v>1.7</v>
      </c>
      <c r="S590" s="1186">
        <v>4.9000000000000004</v>
      </c>
      <c r="T590" s="1186">
        <v>2.7</v>
      </c>
      <c r="U590" s="1186"/>
      <c r="V590" s="1186"/>
      <c r="W590" s="1186"/>
      <c r="X590" s="1186"/>
      <c r="Y590" s="1186"/>
      <c r="Z590" s="1186"/>
      <c r="AA590" s="1186"/>
      <c r="AB590" s="1186"/>
      <c r="AC590" s="1186"/>
      <c r="AD590" s="1187"/>
    </row>
    <row r="591" spans="1:30" x14ac:dyDescent="0.2">
      <c r="A591">
        <f t="shared" si="43"/>
        <v>17</v>
      </c>
      <c r="B591">
        <v>582</v>
      </c>
      <c r="C591" s="1078">
        <v>2</v>
      </c>
      <c r="D591" s="1077" t="s">
        <v>4606</v>
      </c>
      <c r="E591" s="1077" t="s">
        <v>4922</v>
      </c>
      <c r="F591" s="1185">
        <v>4</v>
      </c>
      <c r="G591" s="1186"/>
      <c r="H591" s="1186"/>
      <c r="I591" s="1186">
        <v>5.5</v>
      </c>
      <c r="J591" s="1186">
        <v>2.9</v>
      </c>
      <c r="K591" s="1186">
        <v>4.8</v>
      </c>
      <c r="L591" s="1186">
        <v>3.8</v>
      </c>
      <c r="M591" s="1186">
        <v>6</v>
      </c>
      <c r="N591" s="1186">
        <v>4.9000000000000004</v>
      </c>
      <c r="O591" s="1186"/>
      <c r="P591" s="1186"/>
      <c r="Q591" s="1186">
        <v>5</v>
      </c>
      <c r="R591" s="1186">
        <v>1.7</v>
      </c>
      <c r="S591" s="1186">
        <v>5.8</v>
      </c>
      <c r="T591" s="1186">
        <v>2.7</v>
      </c>
      <c r="U591" s="1186"/>
      <c r="V591" s="1186"/>
      <c r="W591" s="1186"/>
      <c r="X591" s="1186"/>
      <c r="Y591" s="1186"/>
      <c r="Z591" s="1186"/>
      <c r="AA591" s="1186"/>
      <c r="AB591" s="1186"/>
      <c r="AC591" s="1186"/>
      <c r="AD591" s="1187"/>
    </row>
    <row r="592" spans="1:30" x14ac:dyDescent="0.2">
      <c r="A592">
        <f t="shared" si="43"/>
        <v>17</v>
      </c>
      <c r="B592">
        <v>583</v>
      </c>
      <c r="C592" s="1078">
        <v>2</v>
      </c>
      <c r="D592" s="1077" t="s">
        <v>4606</v>
      </c>
      <c r="E592" s="1077" t="s">
        <v>4923</v>
      </c>
      <c r="F592" s="1185">
        <v>4</v>
      </c>
      <c r="G592" s="1186"/>
      <c r="H592" s="1186"/>
      <c r="I592" s="1186">
        <v>6</v>
      </c>
      <c r="J592" s="1186">
        <v>2.7</v>
      </c>
      <c r="K592" s="1186">
        <v>5.6</v>
      </c>
      <c r="L592" s="1186">
        <v>3.7</v>
      </c>
      <c r="M592" s="1186">
        <v>7.5</v>
      </c>
      <c r="N592" s="1186">
        <v>4.5999999999999996</v>
      </c>
      <c r="O592" s="1186"/>
      <c r="P592" s="1186"/>
      <c r="Q592" s="1186">
        <v>5.5</v>
      </c>
      <c r="R592" s="1186">
        <v>1.7</v>
      </c>
      <c r="S592" s="1186">
        <v>7.5</v>
      </c>
      <c r="T592" s="1186">
        <v>2.7</v>
      </c>
      <c r="U592" s="1186"/>
      <c r="V592" s="1186"/>
      <c r="W592" s="1186"/>
      <c r="X592" s="1186"/>
      <c r="Y592" s="1186"/>
      <c r="Z592" s="1186"/>
      <c r="AA592" s="1186"/>
      <c r="AB592" s="1186"/>
      <c r="AC592" s="1186"/>
      <c r="AD592" s="1187"/>
    </row>
    <row r="593" spans="1:30" x14ac:dyDescent="0.2">
      <c r="A593">
        <f t="shared" si="43"/>
        <v>17</v>
      </c>
      <c r="B593">
        <v>584</v>
      </c>
      <c r="C593" s="1078">
        <v>2</v>
      </c>
      <c r="D593" s="1077" t="s">
        <v>4606</v>
      </c>
      <c r="E593" s="1077" t="s">
        <v>4924</v>
      </c>
      <c r="F593" s="1185">
        <v>4</v>
      </c>
      <c r="G593" s="1186"/>
      <c r="H593" s="1186"/>
      <c r="I593" s="1186">
        <v>10.18</v>
      </c>
      <c r="J593" s="1186">
        <v>3.21</v>
      </c>
      <c r="K593" s="1186">
        <v>7.52</v>
      </c>
      <c r="L593" s="1186">
        <v>4.09</v>
      </c>
      <c r="M593" s="1186">
        <v>5.9</v>
      </c>
      <c r="N593" s="1186">
        <v>4.79</v>
      </c>
      <c r="O593" s="1186"/>
      <c r="P593" s="1186"/>
      <c r="Q593" s="1186">
        <v>11.1</v>
      </c>
      <c r="R593" s="1186">
        <v>2.4300000000000002</v>
      </c>
      <c r="S593" s="1186">
        <v>7.24</v>
      </c>
      <c r="T593" s="1186">
        <v>2.93</v>
      </c>
      <c r="U593" s="1186"/>
      <c r="V593" s="1186"/>
      <c r="W593" s="1186"/>
      <c r="X593" s="1186"/>
      <c r="Y593" s="1186"/>
      <c r="Z593" s="1186"/>
      <c r="AA593" s="1186"/>
      <c r="AB593" s="1186"/>
      <c r="AC593" s="1186"/>
      <c r="AD593" s="1187"/>
    </row>
    <row r="594" spans="1:30" x14ac:dyDescent="0.2">
      <c r="A594">
        <f t="shared" si="43"/>
        <v>17</v>
      </c>
      <c r="B594">
        <v>585</v>
      </c>
      <c r="C594" s="1078">
        <v>2</v>
      </c>
      <c r="D594" s="1077" t="s">
        <v>4606</v>
      </c>
      <c r="E594" s="1077" t="s">
        <v>4925</v>
      </c>
      <c r="F594" s="1185">
        <v>4</v>
      </c>
      <c r="G594" s="1186"/>
      <c r="H594" s="1186"/>
      <c r="I594" s="1186">
        <v>11.4</v>
      </c>
      <c r="J594" s="1186">
        <v>3.13</v>
      </c>
      <c r="K594" s="1186">
        <v>7.52</v>
      </c>
      <c r="L594" s="1186">
        <v>4.09</v>
      </c>
      <c r="M594" s="1186">
        <v>9</v>
      </c>
      <c r="N594" s="1186">
        <v>5</v>
      </c>
      <c r="O594" s="1186"/>
      <c r="P594" s="1186"/>
      <c r="Q594" s="1186">
        <v>11.1</v>
      </c>
      <c r="R594" s="1186">
        <v>2.4300000000000002</v>
      </c>
      <c r="S594" s="1186">
        <v>7.24</v>
      </c>
      <c r="T594" s="1186">
        <v>2.93</v>
      </c>
      <c r="U594" s="1186"/>
      <c r="V594" s="1186"/>
      <c r="W594" s="1186"/>
      <c r="X594" s="1186"/>
      <c r="Y594" s="1186"/>
      <c r="Z594" s="1186"/>
      <c r="AA594" s="1186"/>
      <c r="AB594" s="1186"/>
      <c r="AC594" s="1186"/>
      <c r="AD594" s="1187"/>
    </row>
    <row r="595" spans="1:30" x14ac:dyDescent="0.2">
      <c r="A595">
        <f t="shared" si="43"/>
        <v>17</v>
      </c>
      <c r="B595">
        <v>586</v>
      </c>
      <c r="C595" s="1078">
        <v>2</v>
      </c>
      <c r="D595" s="1077" t="s">
        <v>4606</v>
      </c>
      <c r="E595" s="1077" t="s">
        <v>4926</v>
      </c>
      <c r="F595" s="1185">
        <v>4</v>
      </c>
      <c r="G595" s="1186"/>
      <c r="H595" s="1186"/>
      <c r="I595" s="1186">
        <v>12.67</v>
      </c>
      <c r="J595" s="1186">
        <v>3.05</v>
      </c>
      <c r="K595" s="1186">
        <v>7.52</v>
      </c>
      <c r="L595" s="1186">
        <v>4.09</v>
      </c>
      <c r="M595" s="1186">
        <v>9</v>
      </c>
      <c r="N595" s="1186">
        <v>5</v>
      </c>
      <c r="O595" s="1186"/>
      <c r="P595" s="1186"/>
      <c r="Q595" s="1186">
        <v>11.1</v>
      </c>
      <c r="R595" s="1186">
        <v>2.4300000000000002</v>
      </c>
      <c r="S595" s="1186">
        <v>7.24</v>
      </c>
      <c r="T595" s="1186">
        <v>2.93</v>
      </c>
      <c r="U595" s="1186"/>
      <c r="V595" s="1186"/>
      <c r="W595" s="1186"/>
      <c r="X595" s="1186"/>
      <c r="Y595" s="1186"/>
      <c r="Z595" s="1186"/>
      <c r="AA595" s="1186"/>
      <c r="AB595" s="1186"/>
      <c r="AC595" s="1186"/>
      <c r="AD595" s="1187"/>
    </row>
    <row r="596" spans="1:30" x14ac:dyDescent="0.2">
      <c r="A596">
        <f t="shared" si="43"/>
        <v>17</v>
      </c>
      <c r="B596">
        <v>587</v>
      </c>
      <c r="C596" s="1078">
        <v>2</v>
      </c>
      <c r="D596" s="1077" t="s">
        <v>4606</v>
      </c>
      <c r="E596" s="1077" t="s">
        <v>5332</v>
      </c>
      <c r="F596" s="1185">
        <v>4</v>
      </c>
      <c r="G596" s="1186"/>
      <c r="H596" s="1186"/>
      <c r="I596" s="1186">
        <v>10.65</v>
      </c>
      <c r="J596" s="1186">
        <v>3.2</v>
      </c>
      <c r="K596" s="1186">
        <v>12.53</v>
      </c>
      <c r="L596" s="1186">
        <v>3.95</v>
      </c>
      <c r="M596" s="1186">
        <v>12.44</v>
      </c>
      <c r="N596" s="1186">
        <v>4.84</v>
      </c>
      <c r="O596" s="1186">
        <v>10.45</v>
      </c>
      <c r="P596" s="1186">
        <v>8.2200000000000006</v>
      </c>
      <c r="Q596" s="1186">
        <v>9.61</v>
      </c>
      <c r="R596" s="1186">
        <v>2.0299999999999998</v>
      </c>
      <c r="S596" s="1186">
        <v>10.74</v>
      </c>
      <c r="T596" s="1186">
        <v>2.99</v>
      </c>
      <c r="U596" s="1186">
        <v>9.06</v>
      </c>
      <c r="V596" s="1186">
        <v>4.08</v>
      </c>
      <c r="W596" s="1186"/>
      <c r="X596" s="1186"/>
      <c r="Y596" s="1186"/>
      <c r="Z596" s="1186"/>
      <c r="AA596" s="1186"/>
      <c r="AB596" s="1186"/>
      <c r="AC596" s="1186"/>
      <c r="AD596" s="1187"/>
    </row>
    <row r="597" spans="1:30" x14ac:dyDescent="0.2">
      <c r="A597">
        <f t="shared" si="43"/>
        <v>17</v>
      </c>
      <c r="B597">
        <v>588</v>
      </c>
      <c r="C597" s="1078">
        <v>2</v>
      </c>
      <c r="D597" s="1077" t="s">
        <v>4606</v>
      </c>
      <c r="E597" s="1077" t="s">
        <v>5333</v>
      </c>
      <c r="F597" s="1185">
        <v>4</v>
      </c>
      <c r="G597" s="1186"/>
      <c r="H597" s="1186"/>
      <c r="I597" s="1186">
        <v>11.33</v>
      </c>
      <c r="J597" s="1186">
        <v>3.14</v>
      </c>
      <c r="K597" s="1186">
        <v>14.49</v>
      </c>
      <c r="L597" s="1186">
        <v>3.84</v>
      </c>
      <c r="M597" s="1186">
        <v>13.38</v>
      </c>
      <c r="N597" s="1186">
        <v>4.72</v>
      </c>
      <c r="O597" s="1186">
        <v>13.5</v>
      </c>
      <c r="P597" s="1186">
        <v>7.29</v>
      </c>
      <c r="Q597" s="1186">
        <v>10.45</v>
      </c>
      <c r="R597" s="1186">
        <v>2.04</v>
      </c>
      <c r="S597" s="1186">
        <v>11.99</v>
      </c>
      <c r="T597" s="1186">
        <v>3.42</v>
      </c>
      <c r="U597" s="1186">
        <v>12.35</v>
      </c>
      <c r="V597" s="1186">
        <v>4</v>
      </c>
      <c r="W597" s="1186"/>
      <c r="X597" s="1186"/>
      <c r="Y597" s="1186"/>
      <c r="Z597" s="1186"/>
      <c r="AA597" s="1186"/>
      <c r="AB597" s="1186"/>
      <c r="AC597" s="1186"/>
      <c r="AD597" s="1187"/>
    </row>
    <row r="598" spans="1:30" x14ac:dyDescent="0.2">
      <c r="A598">
        <f t="shared" si="43"/>
        <v>17</v>
      </c>
      <c r="B598">
        <v>589</v>
      </c>
      <c r="C598" s="1078">
        <v>2</v>
      </c>
      <c r="D598" s="1077" t="s">
        <v>4606</v>
      </c>
      <c r="E598" s="1077" t="s">
        <v>5334</v>
      </c>
      <c r="F598" s="1185">
        <v>4</v>
      </c>
      <c r="G598" s="1186"/>
      <c r="H598" s="1186"/>
      <c r="I598" s="1186">
        <v>13.96</v>
      </c>
      <c r="J598" s="1186">
        <v>2.89</v>
      </c>
      <c r="K598" s="1186">
        <v>17.55</v>
      </c>
      <c r="L598" s="1186">
        <v>3.65</v>
      </c>
      <c r="M598" s="1186">
        <v>15.96</v>
      </c>
      <c r="N598" s="1186">
        <v>4.62</v>
      </c>
      <c r="O598" s="1186">
        <v>14.19</v>
      </c>
      <c r="P598" s="1186">
        <v>5.76</v>
      </c>
      <c r="Q598" s="1186">
        <v>11.67</v>
      </c>
      <c r="R598" s="1186">
        <v>1.92</v>
      </c>
      <c r="S598" s="1186">
        <v>15.7</v>
      </c>
      <c r="T598" s="1186">
        <v>2.89</v>
      </c>
      <c r="U598" s="1186">
        <v>15.66</v>
      </c>
      <c r="V598" s="1186">
        <v>4.12</v>
      </c>
      <c r="W598" s="1186"/>
      <c r="X598" s="1186"/>
      <c r="Y598" s="1186"/>
      <c r="Z598" s="1186"/>
      <c r="AA598" s="1186"/>
      <c r="AB598" s="1186"/>
      <c r="AC598" s="1186"/>
      <c r="AD598" s="1187"/>
    </row>
    <row r="599" spans="1:30" x14ac:dyDescent="0.2">
      <c r="A599">
        <f t="shared" si="43"/>
        <v>17</v>
      </c>
      <c r="B599">
        <v>590</v>
      </c>
      <c r="C599" s="1078">
        <v>2</v>
      </c>
      <c r="D599" s="1077" t="s">
        <v>4606</v>
      </c>
      <c r="E599" s="1077" t="s">
        <v>5662</v>
      </c>
      <c r="F599" s="1185">
        <v>4</v>
      </c>
      <c r="G599" s="1186">
        <v>6.51</v>
      </c>
      <c r="H599" s="1186">
        <v>2.76</v>
      </c>
      <c r="I599" s="1186">
        <v>7.83</v>
      </c>
      <c r="J599" s="1186">
        <v>3.26</v>
      </c>
      <c r="K599" s="1186">
        <v>5.92</v>
      </c>
      <c r="L599" s="1186">
        <v>3.5</v>
      </c>
      <c r="M599" s="1186">
        <v>7.48</v>
      </c>
      <c r="N599" s="1186">
        <v>5.19</v>
      </c>
      <c r="O599" s="1186">
        <v>7</v>
      </c>
      <c r="P599" s="1186">
        <v>7.61</v>
      </c>
      <c r="Q599" s="1186">
        <v>7.86</v>
      </c>
      <c r="R599" s="1186">
        <v>2.57</v>
      </c>
      <c r="S599" s="1186">
        <v>7.74</v>
      </c>
      <c r="T599" s="1186">
        <v>3.78</v>
      </c>
      <c r="U599" s="1186">
        <v>6.47</v>
      </c>
      <c r="V599" s="1186">
        <v>4.49</v>
      </c>
      <c r="W599" s="1186"/>
      <c r="X599" s="1186"/>
      <c r="Y599" s="1186"/>
      <c r="Z599" s="1186"/>
      <c r="AA599" s="1186"/>
      <c r="AB599" s="1186"/>
      <c r="AC599" s="1186"/>
      <c r="AD599" s="1187"/>
    </row>
    <row r="600" spans="1:30" x14ac:dyDescent="0.2">
      <c r="A600">
        <f t="shared" si="43"/>
        <v>17</v>
      </c>
      <c r="B600">
        <v>591</v>
      </c>
      <c r="C600" s="1078">
        <v>2</v>
      </c>
      <c r="D600" s="1077" t="s">
        <v>4606</v>
      </c>
      <c r="E600" s="1077" t="s">
        <v>5663</v>
      </c>
      <c r="F600" s="1185">
        <v>4</v>
      </c>
      <c r="G600" s="1186">
        <v>7.85</v>
      </c>
      <c r="H600" s="1186">
        <v>2.44</v>
      </c>
      <c r="I600" s="1186">
        <v>9.11</v>
      </c>
      <c r="J600" s="1186">
        <v>2.85</v>
      </c>
      <c r="K600" s="1186">
        <v>6.91</v>
      </c>
      <c r="L600" s="1186">
        <v>3.18</v>
      </c>
      <c r="M600" s="1186">
        <v>9.7100000000000009</v>
      </c>
      <c r="N600" s="1186">
        <v>4.5999999999999996</v>
      </c>
      <c r="O600" s="1186">
        <v>8.57</v>
      </c>
      <c r="P600" s="1186">
        <v>6.75</v>
      </c>
      <c r="Q600" s="1186">
        <v>9.48</v>
      </c>
      <c r="R600" s="1186">
        <v>2.3199999999999998</v>
      </c>
      <c r="S600" s="1186">
        <v>10.039999999999999</v>
      </c>
      <c r="T600" s="1186">
        <v>3.34</v>
      </c>
      <c r="U600" s="1186">
        <v>7.92</v>
      </c>
      <c r="V600" s="1186">
        <v>3.94</v>
      </c>
      <c r="W600" s="1186"/>
      <c r="X600" s="1186"/>
      <c r="Y600" s="1186"/>
      <c r="Z600" s="1186"/>
      <c r="AA600" s="1186"/>
      <c r="AB600" s="1186"/>
      <c r="AC600" s="1186"/>
      <c r="AD600" s="1187"/>
    </row>
    <row r="601" spans="1:30" x14ac:dyDescent="0.2">
      <c r="A601">
        <f t="shared" si="43"/>
        <v>17</v>
      </c>
      <c r="B601">
        <v>592</v>
      </c>
      <c r="C601" s="1078">
        <v>2</v>
      </c>
      <c r="D601" s="1077" t="s">
        <v>4606</v>
      </c>
      <c r="E601" s="1077" t="s">
        <v>5664</v>
      </c>
      <c r="F601" s="1185">
        <v>4</v>
      </c>
      <c r="G601" s="1186">
        <v>9.83</v>
      </c>
      <c r="H601" s="1186">
        <v>2.37</v>
      </c>
      <c r="I601" s="1186">
        <v>10.44</v>
      </c>
      <c r="J601" s="1186">
        <v>3.13</v>
      </c>
      <c r="K601" s="1186">
        <v>8.9700000000000006</v>
      </c>
      <c r="L601" s="1186">
        <v>3.4</v>
      </c>
      <c r="M601" s="1186">
        <v>12.28</v>
      </c>
      <c r="N601" s="1186">
        <v>5.34</v>
      </c>
      <c r="O601" s="1186">
        <v>11.99</v>
      </c>
      <c r="P601" s="1186">
        <v>7.4</v>
      </c>
      <c r="Q601" s="1186">
        <v>12.15</v>
      </c>
      <c r="R601" s="1186">
        <v>2.4300000000000002</v>
      </c>
      <c r="S601" s="1186">
        <v>12.16</v>
      </c>
      <c r="T601" s="1186">
        <v>3.43</v>
      </c>
      <c r="U601" s="1186">
        <v>11.18</v>
      </c>
      <c r="V601" s="1186">
        <v>4.49</v>
      </c>
      <c r="W601" s="1186"/>
      <c r="X601" s="1186"/>
      <c r="Y601" s="1186"/>
      <c r="Z601" s="1186"/>
      <c r="AA601" s="1186"/>
      <c r="AB601" s="1186"/>
      <c r="AC601" s="1186"/>
      <c r="AD601" s="1187"/>
    </row>
    <row r="602" spans="1:30" x14ac:dyDescent="0.2">
      <c r="A602">
        <f t="shared" si="43"/>
        <v>17</v>
      </c>
      <c r="B602">
        <v>593</v>
      </c>
      <c r="C602" s="1078">
        <v>2</v>
      </c>
      <c r="D602" s="1077" t="s">
        <v>4606</v>
      </c>
      <c r="E602" s="1077" t="s">
        <v>5665</v>
      </c>
      <c r="F602" s="1185">
        <v>4</v>
      </c>
      <c r="G602" s="1186">
        <v>11.34</v>
      </c>
      <c r="H602" s="1186">
        <v>2.37</v>
      </c>
      <c r="I602" s="1186">
        <v>13.74</v>
      </c>
      <c r="J602" s="1186">
        <v>2.8</v>
      </c>
      <c r="K602" s="1186">
        <v>11.26</v>
      </c>
      <c r="L602" s="1186">
        <v>3.48</v>
      </c>
      <c r="M602" s="1186">
        <v>10.74</v>
      </c>
      <c r="N602" s="1186">
        <v>4.16</v>
      </c>
      <c r="O602" s="1186">
        <v>15.34</v>
      </c>
      <c r="P602" s="1186">
        <v>7.38</v>
      </c>
      <c r="Q602" s="1186">
        <v>13.3</v>
      </c>
      <c r="R602" s="1186">
        <v>2.35</v>
      </c>
      <c r="S602" s="1186">
        <v>15.26</v>
      </c>
      <c r="T602" s="1186">
        <v>3.42</v>
      </c>
      <c r="U602" s="1186">
        <v>14.3</v>
      </c>
      <c r="V602" s="1186">
        <v>4.4800000000000004</v>
      </c>
      <c r="W602" s="1186"/>
      <c r="X602" s="1186"/>
      <c r="Y602" s="1186"/>
      <c r="Z602" s="1186"/>
      <c r="AA602" s="1186"/>
      <c r="AB602" s="1186"/>
      <c r="AC602" s="1186"/>
      <c r="AD602" s="1187"/>
    </row>
    <row r="603" spans="1:30" x14ac:dyDescent="0.2">
      <c r="A603">
        <f t="shared" si="43"/>
        <v>17</v>
      </c>
      <c r="B603">
        <v>594</v>
      </c>
      <c r="C603" s="1078">
        <v>2</v>
      </c>
      <c r="D603" s="1077" t="s">
        <v>4606</v>
      </c>
      <c r="E603" s="1077" t="s">
        <v>5666</v>
      </c>
      <c r="F603" s="1185">
        <v>1</v>
      </c>
      <c r="G603" s="1186">
        <v>4.2</v>
      </c>
      <c r="H603" s="1186">
        <v>2.33</v>
      </c>
      <c r="I603" s="1186">
        <v>5.2</v>
      </c>
      <c r="J603" s="1186">
        <v>3</v>
      </c>
      <c r="K603" s="1186">
        <v>6.6</v>
      </c>
      <c r="L603" s="1186">
        <v>3.9</v>
      </c>
      <c r="M603" s="1186">
        <v>8.1</v>
      </c>
      <c r="N603" s="1186">
        <v>5</v>
      </c>
      <c r="O603" s="1186">
        <v>11.2</v>
      </c>
      <c r="P603" s="1186">
        <v>6.05</v>
      </c>
      <c r="Q603" s="1186">
        <v>5.2</v>
      </c>
      <c r="R603" s="1186">
        <v>2.08</v>
      </c>
      <c r="S603" s="1186">
        <v>7.9</v>
      </c>
      <c r="T603" s="1186">
        <v>3.1</v>
      </c>
      <c r="U603" s="1186">
        <v>9.5</v>
      </c>
      <c r="V603" s="1186">
        <v>3.8</v>
      </c>
      <c r="W603" s="1186"/>
      <c r="X603" s="1186"/>
      <c r="Y603" s="1186"/>
      <c r="Z603" s="1186"/>
      <c r="AA603" s="1186"/>
      <c r="AB603" s="1186"/>
      <c r="AC603" s="1186"/>
      <c r="AD603" s="1187"/>
    </row>
    <row r="604" spans="1:30" x14ac:dyDescent="0.2">
      <c r="A604">
        <f t="shared" si="43"/>
        <v>17</v>
      </c>
      <c r="B604">
        <v>595</v>
      </c>
      <c r="C604" s="1200">
        <v>2</v>
      </c>
      <c r="D604" s="1201" t="s">
        <v>4606</v>
      </c>
      <c r="E604" s="1201" t="s">
        <v>5309</v>
      </c>
      <c r="F604" s="1185">
        <v>1</v>
      </c>
      <c r="G604" s="1186">
        <v>5.8</v>
      </c>
      <c r="H604" s="1186">
        <v>2.63</v>
      </c>
      <c r="I604" s="1186">
        <v>7.3</v>
      </c>
      <c r="J604" s="1186">
        <v>3.1</v>
      </c>
      <c r="K604" s="1186">
        <v>9.5</v>
      </c>
      <c r="L604" s="1186">
        <v>4</v>
      </c>
      <c r="M604" s="1186">
        <v>11.3</v>
      </c>
      <c r="N604" s="1186">
        <v>3.8</v>
      </c>
      <c r="O604" s="1186">
        <v>14.5</v>
      </c>
      <c r="P604" s="1186">
        <v>6.3</v>
      </c>
      <c r="Q604" s="1186">
        <v>7.2</v>
      </c>
      <c r="R604" s="1186">
        <v>2.19</v>
      </c>
      <c r="S604" s="1186">
        <v>10</v>
      </c>
      <c r="T604" s="1186">
        <v>5</v>
      </c>
      <c r="U604" s="1186">
        <v>13</v>
      </c>
      <c r="V604" s="1186">
        <v>3.94</v>
      </c>
      <c r="W604" s="1186"/>
      <c r="X604" s="1186"/>
      <c r="Y604" s="1186"/>
      <c r="Z604" s="1186"/>
      <c r="AA604" s="1186"/>
      <c r="AB604" s="1186"/>
      <c r="AC604" s="1186"/>
      <c r="AD604" s="1187"/>
    </row>
    <row r="605" spans="1:30" x14ac:dyDescent="0.2">
      <c r="A605">
        <f t="shared" si="43"/>
        <v>17</v>
      </c>
      <c r="B605">
        <v>596</v>
      </c>
      <c r="C605" s="1200">
        <v>2</v>
      </c>
      <c r="D605" s="1201" t="s">
        <v>4606</v>
      </c>
      <c r="E605" s="1201" t="s">
        <v>5308</v>
      </c>
      <c r="F605" s="1185">
        <v>2</v>
      </c>
      <c r="G605" s="1186">
        <v>7.9</v>
      </c>
      <c r="H605" s="1186">
        <v>2.5499999999999998</v>
      </c>
      <c r="I605" s="1186">
        <v>10.6</v>
      </c>
      <c r="J605" s="1186">
        <v>3.2</v>
      </c>
      <c r="K605" s="1186">
        <v>12.3</v>
      </c>
      <c r="L605" s="1186">
        <v>3.8</v>
      </c>
      <c r="M605" s="1186">
        <v>8.4</v>
      </c>
      <c r="N605" s="1186">
        <v>4.8</v>
      </c>
      <c r="O605" s="1186">
        <v>11</v>
      </c>
      <c r="P605" s="1186">
        <v>4.07</v>
      </c>
      <c r="Q605" s="1186">
        <v>10.8</v>
      </c>
      <c r="R605" s="1186">
        <v>2.2000000000000002</v>
      </c>
      <c r="S605" s="1186">
        <v>7.7</v>
      </c>
      <c r="T605" s="1186">
        <v>3.1</v>
      </c>
      <c r="U605" s="1186">
        <v>9.6</v>
      </c>
      <c r="V605" s="1186">
        <v>3.84</v>
      </c>
      <c r="W605" s="1186"/>
      <c r="X605" s="1186"/>
      <c r="Y605" s="1186"/>
      <c r="Z605" s="1186"/>
      <c r="AA605" s="1186"/>
      <c r="AB605" s="1186"/>
      <c r="AC605" s="1186"/>
      <c r="AD605" s="1187"/>
    </row>
    <row r="606" spans="1:30" x14ac:dyDescent="0.2">
      <c r="A606">
        <f t="shared" si="43"/>
        <v>17</v>
      </c>
      <c r="B606">
        <v>597</v>
      </c>
      <c r="C606" s="1200">
        <v>2</v>
      </c>
      <c r="D606" s="1201" t="s">
        <v>4606</v>
      </c>
      <c r="E606" s="1201" t="s">
        <v>5667</v>
      </c>
      <c r="F606" s="1185">
        <v>2</v>
      </c>
      <c r="G606" s="1186">
        <v>11.5</v>
      </c>
      <c r="H606" s="1186">
        <v>2.74</v>
      </c>
      <c r="I606" s="1186">
        <v>13.5</v>
      </c>
      <c r="J606" s="1186">
        <v>3.1</v>
      </c>
      <c r="K606" s="1186">
        <v>15.9</v>
      </c>
      <c r="L606" s="1186">
        <v>3.7</v>
      </c>
      <c r="M606" s="1186">
        <v>11.5</v>
      </c>
      <c r="N606" s="1186">
        <v>5</v>
      </c>
      <c r="O606" s="1186">
        <v>13</v>
      </c>
      <c r="P606" s="1186">
        <v>5.91</v>
      </c>
      <c r="Q606" s="1186"/>
      <c r="R606" s="1186"/>
      <c r="S606" s="1186">
        <v>11</v>
      </c>
      <c r="T606" s="1186">
        <v>3.24</v>
      </c>
      <c r="U606" s="1186">
        <v>12.3</v>
      </c>
      <c r="V606" s="1186">
        <v>3.73</v>
      </c>
      <c r="W606" s="1186"/>
      <c r="X606" s="1186"/>
      <c r="Y606" s="1186"/>
      <c r="Z606" s="1186"/>
      <c r="AA606" s="1186"/>
      <c r="AB606" s="1186"/>
      <c r="AC606" s="1186"/>
      <c r="AD606" s="1187"/>
    </row>
    <row r="607" spans="1:30" x14ac:dyDescent="0.2">
      <c r="A607">
        <f t="shared" si="43"/>
        <v>17</v>
      </c>
      <c r="B607">
        <v>598</v>
      </c>
      <c r="C607" s="1200">
        <v>2</v>
      </c>
      <c r="D607" s="1201" t="s">
        <v>4606</v>
      </c>
      <c r="E607" s="1201" t="s">
        <v>5668</v>
      </c>
      <c r="F607" s="1185">
        <v>4</v>
      </c>
      <c r="G607" s="1186">
        <v>13</v>
      </c>
      <c r="H607" s="1186">
        <v>2.5</v>
      </c>
      <c r="I607" s="1186">
        <v>14.5</v>
      </c>
      <c r="J607" s="1186">
        <v>2.8</v>
      </c>
      <c r="K607" s="1186">
        <v>12.8</v>
      </c>
      <c r="L607" s="1186">
        <v>3.4</v>
      </c>
      <c r="M607" s="1186">
        <v>16.8</v>
      </c>
      <c r="N607" s="1186">
        <v>4.7</v>
      </c>
      <c r="O607" s="1186">
        <v>20</v>
      </c>
      <c r="P607" s="1186">
        <v>5.9</v>
      </c>
      <c r="Q607" s="1186">
        <v>14.4</v>
      </c>
      <c r="R607" s="1186">
        <v>1.9</v>
      </c>
      <c r="S607" s="1186">
        <v>15.5</v>
      </c>
      <c r="T607" s="1186">
        <v>3</v>
      </c>
      <c r="U607" s="1186">
        <v>19</v>
      </c>
      <c r="V607" s="1186">
        <v>3.8</v>
      </c>
      <c r="W607" s="1186"/>
      <c r="X607" s="1186"/>
      <c r="Y607" s="1186"/>
      <c r="Z607" s="1186"/>
      <c r="AA607" s="1186"/>
      <c r="AB607" s="1186"/>
      <c r="AC607" s="1186"/>
      <c r="AD607" s="1187"/>
    </row>
    <row r="608" spans="1:30" x14ac:dyDescent="0.2">
      <c r="A608">
        <f t="shared" si="43"/>
        <v>17</v>
      </c>
      <c r="B608">
        <v>599</v>
      </c>
      <c r="C608" s="1200">
        <v>2</v>
      </c>
      <c r="D608" s="1201" t="s">
        <v>4606</v>
      </c>
      <c r="E608" s="1201" t="s">
        <v>5669</v>
      </c>
      <c r="F608" s="1185">
        <v>2</v>
      </c>
      <c r="G608" s="1186">
        <v>31.7</v>
      </c>
      <c r="H608" s="1186">
        <v>2.6</v>
      </c>
      <c r="I608" s="1186">
        <v>38</v>
      </c>
      <c r="J608" s="1186">
        <v>3</v>
      </c>
      <c r="K608" s="1186">
        <v>26.6</v>
      </c>
      <c r="L608" s="1186">
        <v>3.6</v>
      </c>
      <c r="M608" s="1186">
        <v>35.299999999999997</v>
      </c>
      <c r="N608" s="1186">
        <v>4.5</v>
      </c>
      <c r="O608" s="1186">
        <v>44</v>
      </c>
      <c r="P608" s="1186">
        <v>5.37</v>
      </c>
      <c r="Q608" s="1186"/>
      <c r="R608" s="1186"/>
      <c r="S608" s="1186">
        <v>31.7</v>
      </c>
      <c r="T608" s="1186">
        <v>3.2</v>
      </c>
      <c r="U608" s="1186">
        <v>40.700000000000003</v>
      </c>
      <c r="V608" s="1186">
        <v>3.7</v>
      </c>
      <c r="W608" s="1186"/>
      <c r="X608" s="1186"/>
      <c r="Y608" s="1186"/>
      <c r="Z608" s="1186"/>
      <c r="AA608" s="1186"/>
      <c r="AB608" s="1186"/>
      <c r="AC608" s="1186"/>
      <c r="AD608" s="1187"/>
    </row>
    <row r="609" spans="1:30" x14ac:dyDescent="0.2">
      <c r="A609">
        <f t="shared" si="43"/>
        <v>17</v>
      </c>
      <c r="B609">
        <v>600</v>
      </c>
      <c r="C609" s="1200">
        <v>2</v>
      </c>
      <c r="D609" s="1201" t="s">
        <v>4606</v>
      </c>
      <c r="E609" s="1201" t="s">
        <v>5670</v>
      </c>
      <c r="F609" s="1185">
        <v>2</v>
      </c>
      <c r="G609" s="1186">
        <v>31.7</v>
      </c>
      <c r="H609" s="1186">
        <v>2.6</v>
      </c>
      <c r="I609" s="1186">
        <v>38</v>
      </c>
      <c r="J609" s="1186">
        <v>3</v>
      </c>
      <c r="K609" s="1186">
        <v>43.4</v>
      </c>
      <c r="L609" s="1186">
        <v>3.4</v>
      </c>
      <c r="M609" s="1186">
        <v>35.299999999999997</v>
      </c>
      <c r="N609" s="1186">
        <v>4.5</v>
      </c>
      <c r="O609" s="1186">
        <v>44</v>
      </c>
      <c r="P609" s="1186">
        <v>5.37</v>
      </c>
      <c r="Q609" s="1186"/>
      <c r="R609" s="1186"/>
      <c r="S609" s="1186">
        <v>31.7</v>
      </c>
      <c r="T609" s="1186">
        <v>3.2</v>
      </c>
      <c r="U609" s="1186">
        <v>40.700000000000003</v>
      </c>
      <c r="V609" s="1186">
        <v>3.7</v>
      </c>
      <c r="W609" s="1186"/>
      <c r="X609" s="1186"/>
      <c r="Y609" s="1186"/>
      <c r="Z609" s="1186"/>
      <c r="AA609" s="1186"/>
      <c r="AB609" s="1186"/>
      <c r="AC609" s="1186"/>
      <c r="AD609" s="1187"/>
    </row>
    <row r="610" spans="1:30" x14ac:dyDescent="0.2">
      <c r="A610">
        <f t="shared" si="43"/>
        <v>17</v>
      </c>
      <c r="B610">
        <v>601</v>
      </c>
      <c r="C610" s="1200">
        <v>2</v>
      </c>
      <c r="D610" s="1201" t="s">
        <v>4606</v>
      </c>
      <c r="E610" s="1201" t="s">
        <v>5671</v>
      </c>
      <c r="F610" s="1185">
        <v>2</v>
      </c>
      <c r="G610" s="1186">
        <v>31.7</v>
      </c>
      <c r="H610" s="1186">
        <v>2.6</v>
      </c>
      <c r="I610" s="1186">
        <v>38</v>
      </c>
      <c r="J610" s="1186">
        <v>3</v>
      </c>
      <c r="K610" s="1186">
        <v>43.4</v>
      </c>
      <c r="L610" s="1186">
        <v>3.4</v>
      </c>
      <c r="M610" s="1186">
        <v>35.299999999999997</v>
      </c>
      <c r="N610" s="1186">
        <v>4.5</v>
      </c>
      <c r="O610" s="1186">
        <v>44</v>
      </c>
      <c r="P610" s="1186">
        <v>5.37</v>
      </c>
      <c r="Q610" s="1186"/>
      <c r="R610" s="1186"/>
      <c r="S610" s="1186">
        <v>31.7</v>
      </c>
      <c r="T610" s="1186">
        <v>3.2</v>
      </c>
      <c r="U610" s="1186">
        <v>40.700000000000003</v>
      </c>
      <c r="V610" s="1186">
        <v>3.7</v>
      </c>
      <c r="W610" s="1186"/>
      <c r="X610" s="1186"/>
      <c r="Y610" s="1186"/>
      <c r="Z610" s="1186"/>
      <c r="AA610" s="1186"/>
      <c r="AB610" s="1186"/>
      <c r="AC610" s="1186"/>
      <c r="AD610" s="1187"/>
    </row>
    <row r="611" spans="1:30" x14ac:dyDescent="0.2">
      <c r="A611">
        <f t="shared" si="43"/>
        <v>17</v>
      </c>
      <c r="B611">
        <v>602</v>
      </c>
      <c r="C611" s="1200">
        <v>2</v>
      </c>
      <c r="D611" s="1201" t="s">
        <v>4606</v>
      </c>
      <c r="E611" s="1201" t="s">
        <v>5330</v>
      </c>
      <c r="F611" s="1185">
        <v>2</v>
      </c>
      <c r="G611" s="1186">
        <v>16</v>
      </c>
      <c r="H611" s="1186">
        <v>2.9</v>
      </c>
      <c r="I611" s="1186">
        <v>19.899999999999999</v>
      </c>
      <c r="J611" s="1186">
        <v>3.1</v>
      </c>
      <c r="K611" s="1186">
        <v>22.2</v>
      </c>
      <c r="L611" s="1186">
        <v>3.7</v>
      </c>
      <c r="M611" s="1186">
        <v>16.2</v>
      </c>
      <c r="N611" s="1186">
        <v>4.9000000000000004</v>
      </c>
      <c r="O611" s="1186">
        <v>23</v>
      </c>
      <c r="P611" s="1186">
        <v>6.9</v>
      </c>
      <c r="Q611" s="1186">
        <v>20</v>
      </c>
      <c r="R611" s="1186">
        <v>2.5</v>
      </c>
      <c r="S611" s="1186">
        <v>15.4</v>
      </c>
      <c r="T611" s="1186">
        <v>3.4</v>
      </c>
      <c r="U611" s="1186">
        <v>20.9</v>
      </c>
      <c r="V611" s="1186">
        <v>4.7</v>
      </c>
      <c r="W611" s="1186"/>
      <c r="X611" s="1186"/>
      <c r="Y611" s="1186"/>
      <c r="Z611" s="1186"/>
      <c r="AA611" s="1186"/>
      <c r="AB611" s="1186"/>
      <c r="AC611" s="1186"/>
      <c r="AD611" s="1187"/>
    </row>
    <row r="612" spans="1:30" x14ac:dyDescent="0.2">
      <c r="A612">
        <f t="shared" si="43"/>
        <v>17</v>
      </c>
      <c r="B612">
        <v>603</v>
      </c>
      <c r="C612" s="1200">
        <v>2</v>
      </c>
      <c r="D612" s="1201" t="s">
        <v>4606</v>
      </c>
      <c r="E612" s="1201" t="s">
        <v>4794</v>
      </c>
      <c r="F612" s="1185">
        <v>2</v>
      </c>
      <c r="G612" s="1186">
        <v>15.6</v>
      </c>
      <c r="H612" s="1186">
        <v>2.2999999999999998</v>
      </c>
      <c r="I612" s="1186">
        <v>22.3</v>
      </c>
      <c r="J612" s="1186">
        <v>3.1</v>
      </c>
      <c r="K612" s="1186">
        <v>23.7</v>
      </c>
      <c r="L612" s="1186">
        <v>3.4</v>
      </c>
      <c r="M612" s="1186">
        <v>17.600000000000001</v>
      </c>
      <c r="N612" s="1186">
        <v>4.33</v>
      </c>
      <c r="O612" s="1186">
        <v>22</v>
      </c>
      <c r="P612" s="1186">
        <v>5</v>
      </c>
      <c r="Q612" s="1186">
        <v>21.8</v>
      </c>
      <c r="R612" s="1186">
        <v>2.2999999999999998</v>
      </c>
      <c r="S612" s="1186">
        <v>17.399999999999999</v>
      </c>
      <c r="T612" s="1186">
        <v>3.11</v>
      </c>
      <c r="U612" s="1186">
        <v>23.5</v>
      </c>
      <c r="V612" s="1186">
        <v>3.9</v>
      </c>
      <c r="W612" s="1186"/>
      <c r="X612" s="1186"/>
      <c r="Y612" s="1186"/>
      <c r="Z612" s="1186"/>
      <c r="AA612" s="1186"/>
      <c r="AB612" s="1186"/>
      <c r="AC612" s="1186"/>
      <c r="AD612" s="1187"/>
    </row>
    <row r="613" spans="1:30" x14ac:dyDescent="0.2">
      <c r="A613">
        <f t="shared" si="43"/>
        <v>17</v>
      </c>
      <c r="B613">
        <v>604</v>
      </c>
      <c r="C613" s="1200">
        <v>2</v>
      </c>
      <c r="D613" s="1201" t="s">
        <v>4606</v>
      </c>
      <c r="E613" s="1201" t="s">
        <v>5335</v>
      </c>
      <c r="F613" s="1185">
        <v>2</v>
      </c>
      <c r="G613" s="1186">
        <v>31.7</v>
      </c>
      <c r="H613" s="1186">
        <v>2.6</v>
      </c>
      <c r="I613" s="1186">
        <v>38</v>
      </c>
      <c r="J613" s="1186">
        <v>3</v>
      </c>
      <c r="K613" s="1186">
        <v>43.4</v>
      </c>
      <c r="L613" s="1186">
        <v>3.4</v>
      </c>
      <c r="M613" s="1186">
        <v>35.299999999999997</v>
      </c>
      <c r="N613" s="1186">
        <v>4.5</v>
      </c>
      <c r="O613" s="1186">
        <v>44</v>
      </c>
      <c r="P613" s="1186">
        <v>5.25</v>
      </c>
      <c r="Q613" s="1186">
        <v>21</v>
      </c>
      <c r="R613" s="1186">
        <v>2.25</v>
      </c>
      <c r="S613" s="1186">
        <v>33</v>
      </c>
      <c r="T613" s="1186">
        <v>3.25</v>
      </c>
      <c r="U613" s="1186">
        <v>41</v>
      </c>
      <c r="V613" s="1186">
        <v>3.9</v>
      </c>
      <c r="W613" s="1186"/>
      <c r="X613" s="1186"/>
      <c r="Y613" s="1186"/>
      <c r="Z613" s="1186"/>
      <c r="AA613" s="1186"/>
      <c r="AB613" s="1186"/>
      <c r="AC613" s="1186"/>
      <c r="AD613" s="1187"/>
    </row>
    <row r="614" spans="1:30" x14ac:dyDescent="0.2">
      <c r="A614">
        <f t="shared" si="43"/>
        <v>17</v>
      </c>
      <c r="B614">
        <v>605</v>
      </c>
      <c r="C614" s="1078">
        <v>2</v>
      </c>
      <c r="D614" s="1077" t="s">
        <v>4606</v>
      </c>
      <c r="E614" s="1077" t="s">
        <v>5672</v>
      </c>
      <c r="F614" s="1185">
        <v>4</v>
      </c>
      <c r="G614" s="1186">
        <v>18.3</v>
      </c>
      <c r="H614" s="1186">
        <v>2.5</v>
      </c>
      <c r="I614" s="1186">
        <v>19.600000000000001</v>
      </c>
      <c r="J614" s="1186">
        <v>2.8</v>
      </c>
      <c r="K614" s="1186">
        <v>17.399999999999999</v>
      </c>
      <c r="L614" s="1186">
        <v>3.7</v>
      </c>
      <c r="M614" s="1186">
        <v>19</v>
      </c>
      <c r="N614" s="1186">
        <v>5</v>
      </c>
      <c r="O614" s="1186">
        <v>23.5</v>
      </c>
      <c r="P614" s="1186">
        <v>6.18</v>
      </c>
      <c r="Q614" s="1186">
        <v>21.7</v>
      </c>
      <c r="R614" s="1186">
        <v>2.4</v>
      </c>
      <c r="S614" s="1186">
        <v>17.399999999999999</v>
      </c>
      <c r="T614" s="1186">
        <v>3.2</v>
      </c>
      <c r="U614" s="1186">
        <v>21.8</v>
      </c>
      <c r="V614" s="1186">
        <v>4.2</v>
      </c>
      <c r="W614" s="1186"/>
      <c r="X614" s="1186"/>
      <c r="Y614" s="1186"/>
      <c r="Z614" s="1186"/>
      <c r="AA614" s="1186"/>
      <c r="AB614" s="1186"/>
      <c r="AC614" s="1186"/>
      <c r="AD614" s="1187"/>
    </row>
    <row r="615" spans="1:30" x14ac:dyDescent="0.2">
      <c r="A615">
        <f t="shared" si="43"/>
        <v>17</v>
      </c>
      <c r="B615">
        <v>606</v>
      </c>
      <c r="C615" s="1078">
        <v>2</v>
      </c>
      <c r="D615" s="1077" t="s">
        <v>4606</v>
      </c>
      <c r="E615" s="1077" t="s">
        <v>5673</v>
      </c>
      <c r="F615" s="1185">
        <v>4</v>
      </c>
      <c r="G615" s="1186">
        <v>34.799999999999997</v>
      </c>
      <c r="H615" s="1186">
        <v>2.6</v>
      </c>
      <c r="I615" s="1186">
        <v>42.5</v>
      </c>
      <c r="J615" s="1186">
        <v>2.7</v>
      </c>
      <c r="K615" s="1186">
        <v>35.700000000000003</v>
      </c>
      <c r="L615" s="1186">
        <v>3.4</v>
      </c>
      <c r="M615" s="1186">
        <v>40.200000000000003</v>
      </c>
      <c r="N615" s="1186">
        <v>4.5999999999999996</v>
      </c>
      <c r="O615" s="1186">
        <v>42</v>
      </c>
      <c r="P615" s="1186">
        <v>6.8</v>
      </c>
      <c r="Q615" s="1186">
        <v>41.6</v>
      </c>
      <c r="R615" s="1186">
        <v>2.4</v>
      </c>
      <c r="S615" s="1186">
        <v>36.200000000000003</v>
      </c>
      <c r="T615" s="1186">
        <v>3</v>
      </c>
      <c r="U615" s="1186">
        <v>38.200000000000003</v>
      </c>
      <c r="V615" s="1186">
        <v>4</v>
      </c>
      <c r="W615" s="1186"/>
      <c r="X615" s="1186"/>
      <c r="Y615" s="1186"/>
      <c r="Z615" s="1186"/>
      <c r="AA615" s="1186"/>
      <c r="AB615" s="1186"/>
      <c r="AC615" s="1186"/>
      <c r="AD615" s="1187"/>
    </row>
    <row r="616" spans="1:30" x14ac:dyDescent="0.2">
      <c r="A616">
        <f t="shared" si="43"/>
        <v>17</v>
      </c>
      <c r="B616">
        <v>607</v>
      </c>
      <c r="C616" s="1078">
        <v>2</v>
      </c>
      <c r="D616" s="1077" t="s">
        <v>4606</v>
      </c>
      <c r="E616" s="1077" t="s">
        <v>4607</v>
      </c>
      <c r="F616" s="1185">
        <v>1</v>
      </c>
      <c r="G616" s="1186">
        <v>4.3</v>
      </c>
      <c r="H616" s="1186">
        <v>2.31</v>
      </c>
      <c r="I616" s="1186">
        <v>5.32</v>
      </c>
      <c r="J616" s="1186">
        <v>2.82</v>
      </c>
      <c r="K616" s="1186">
        <v>6.62</v>
      </c>
      <c r="L616" s="1186">
        <v>3.5</v>
      </c>
      <c r="M616" s="1186">
        <v>7.7</v>
      </c>
      <c r="N616" s="1186">
        <v>4.0199999999999996</v>
      </c>
      <c r="O616" s="1186"/>
      <c r="P616" s="1186"/>
      <c r="Q616" s="1186">
        <v>4.91</v>
      </c>
      <c r="R616" s="1186">
        <v>1.82</v>
      </c>
      <c r="S616" s="1186">
        <v>7.1</v>
      </c>
      <c r="T616" s="1186">
        <v>2.5</v>
      </c>
      <c r="U616" s="1186">
        <v>10.4</v>
      </c>
      <c r="V616" s="1186">
        <v>3.62</v>
      </c>
      <c r="W616" s="1186"/>
      <c r="X616" s="1186"/>
      <c r="Y616" s="1186"/>
      <c r="Z616" s="1186"/>
      <c r="AA616" s="1186"/>
      <c r="AB616" s="1186"/>
      <c r="AC616" s="1186"/>
      <c r="AD616" s="1187"/>
    </row>
    <row r="617" spans="1:30" x14ac:dyDescent="0.2">
      <c r="A617">
        <f t="shared" si="43"/>
        <v>17</v>
      </c>
      <c r="B617">
        <v>608</v>
      </c>
      <c r="C617" s="1078">
        <v>2</v>
      </c>
      <c r="D617" s="1077" t="s">
        <v>4606</v>
      </c>
      <c r="E617" s="1077" t="s">
        <v>4795</v>
      </c>
      <c r="F617" s="1185">
        <v>1</v>
      </c>
      <c r="G617" s="1186">
        <v>5.7</v>
      </c>
      <c r="H617" s="1186">
        <v>2.6</v>
      </c>
      <c r="I617" s="1186">
        <v>7.1</v>
      </c>
      <c r="J617" s="1186">
        <v>3.3</v>
      </c>
      <c r="K617" s="1186">
        <v>9.4</v>
      </c>
      <c r="L617" s="1186">
        <v>4.2</v>
      </c>
      <c r="M617" s="1186">
        <v>11.5</v>
      </c>
      <c r="N617" s="1186">
        <v>5</v>
      </c>
      <c r="O617" s="1186">
        <v>14.4</v>
      </c>
      <c r="P617" s="1186">
        <v>6.3</v>
      </c>
      <c r="Q617" s="1186">
        <v>6.9</v>
      </c>
      <c r="R617" s="1186">
        <v>2.2000000000000002</v>
      </c>
      <c r="S617" s="1186">
        <v>10.3</v>
      </c>
      <c r="T617" s="1186">
        <v>3.2</v>
      </c>
      <c r="U617" s="1186">
        <v>12.9</v>
      </c>
      <c r="V617" s="1186">
        <v>3.8</v>
      </c>
      <c r="W617" s="1186"/>
      <c r="X617" s="1186"/>
      <c r="Y617" s="1186"/>
      <c r="Z617" s="1186"/>
      <c r="AA617" s="1186"/>
      <c r="AB617" s="1186"/>
      <c r="AC617" s="1186"/>
      <c r="AD617" s="1187"/>
    </row>
    <row r="618" spans="1:30" x14ac:dyDescent="0.2">
      <c r="A618">
        <f t="shared" si="43"/>
        <v>17</v>
      </c>
      <c r="B618">
        <v>609</v>
      </c>
      <c r="C618" s="1078">
        <v>2</v>
      </c>
      <c r="D618" s="1077" t="s">
        <v>4606</v>
      </c>
      <c r="E618" s="1077" t="s">
        <v>4608</v>
      </c>
      <c r="F618" s="1185">
        <v>1</v>
      </c>
      <c r="G618" s="1186">
        <v>5.7</v>
      </c>
      <c r="H618" s="1186">
        <v>2.6</v>
      </c>
      <c r="I618" s="1186">
        <v>7.2</v>
      </c>
      <c r="J618" s="1186">
        <v>3.13</v>
      </c>
      <c r="K618" s="1186">
        <v>9.44</v>
      </c>
      <c r="L618" s="1186">
        <v>4.0999999999999996</v>
      </c>
      <c r="M618" s="1186">
        <v>11.63</v>
      </c>
      <c r="N618" s="1186">
        <v>4.9000000000000004</v>
      </c>
      <c r="O618" s="1186"/>
      <c r="P618" s="1186"/>
      <c r="Q618" s="1186">
        <v>7</v>
      </c>
      <c r="R618" s="1186">
        <v>2.14</v>
      </c>
      <c r="S618" s="1186">
        <v>10.62</v>
      </c>
      <c r="T618" s="1186">
        <v>3.06</v>
      </c>
      <c r="U618" s="1186">
        <v>12.9</v>
      </c>
      <c r="V618" s="1186">
        <v>3.62</v>
      </c>
      <c r="W618" s="1186"/>
      <c r="X618" s="1186"/>
      <c r="Y618" s="1186"/>
      <c r="Z618" s="1186"/>
      <c r="AA618" s="1186"/>
      <c r="AB618" s="1186"/>
      <c r="AC618" s="1186"/>
      <c r="AD618" s="1187"/>
    </row>
    <row r="619" spans="1:30" x14ac:dyDescent="0.2">
      <c r="A619">
        <f t="shared" si="43"/>
        <v>17</v>
      </c>
      <c r="B619">
        <v>610</v>
      </c>
      <c r="C619" s="1078">
        <v>2</v>
      </c>
      <c r="D619" s="1077" t="s">
        <v>4606</v>
      </c>
      <c r="E619" s="1077" t="s">
        <v>5310</v>
      </c>
      <c r="F619" s="1185">
        <v>2</v>
      </c>
      <c r="G619" s="1186">
        <v>11</v>
      </c>
      <c r="H619" s="1186">
        <v>2.6</v>
      </c>
      <c r="I619" s="1186">
        <v>13.9</v>
      </c>
      <c r="J619" s="1186">
        <v>3.1</v>
      </c>
      <c r="K619" s="1186">
        <v>15.9</v>
      </c>
      <c r="L619" s="1186">
        <v>3.7</v>
      </c>
      <c r="M619" s="1186">
        <v>20.9</v>
      </c>
      <c r="N619" s="1186">
        <v>4.7</v>
      </c>
      <c r="O619" s="1186">
        <v>14</v>
      </c>
      <c r="P619" s="1186">
        <v>6</v>
      </c>
      <c r="Q619" s="1186">
        <v>13</v>
      </c>
      <c r="R619" s="1186">
        <v>2.2000000000000002</v>
      </c>
      <c r="S619" s="1186">
        <v>11</v>
      </c>
      <c r="T619" s="1186">
        <v>3.2</v>
      </c>
      <c r="U619" s="1186">
        <v>13</v>
      </c>
      <c r="V619" s="1186">
        <v>3.6</v>
      </c>
      <c r="W619" s="1186"/>
      <c r="X619" s="1186"/>
      <c r="Y619" s="1186"/>
      <c r="Z619" s="1186"/>
      <c r="AA619" s="1186"/>
      <c r="AB619" s="1186"/>
      <c r="AC619" s="1186"/>
      <c r="AD619" s="1187"/>
    </row>
    <row r="620" spans="1:30" x14ac:dyDescent="0.2">
      <c r="A620">
        <f t="shared" si="43"/>
        <v>17</v>
      </c>
      <c r="B620">
        <v>611</v>
      </c>
      <c r="C620" s="1078">
        <v>2</v>
      </c>
      <c r="D620" s="1077" t="s">
        <v>4606</v>
      </c>
      <c r="E620" s="1077" t="s">
        <v>5311</v>
      </c>
      <c r="F620" s="1185">
        <v>2</v>
      </c>
      <c r="G620" s="1186">
        <v>13.6</v>
      </c>
      <c r="H620" s="1186">
        <v>2.8</v>
      </c>
      <c r="I620" s="1186">
        <v>18.3</v>
      </c>
      <c r="J620" s="1186">
        <v>3.2</v>
      </c>
      <c r="K620" s="1186">
        <v>18.5</v>
      </c>
      <c r="L620" s="1186">
        <v>3.6</v>
      </c>
      <c r="M620" s="1186">
        <v>21.4</v>
      </c>
      <c r="N620" s="1186">
        <v>4.0999999999999996</v>
      </c>
      <c r="O620" s="1186">
        <v>18</v>
      </c>
      <c r="P620" s="1186">
        <v>6.2</v>
      </c>
      <c r="Q620" s="1186">
        <v>18.5</v>
      </c>
      <c r="R620" s="1186">
        <v>2.2999999999999998</v>
      </c>
      <c r="S620" s="1186">
        <v>12.5</v>
      </c>
      <c r="T620" s="1186">
        <v>3.1</v>
      </c>
      <c r="U620" s="1186">
        <v>16</v>
      </c>
      <c r="V620" s="1186">
        <v>3.9</v>
      </c>
      <c r="W620" s="1186"/>
      <c r="X620" s="1186"/>
      <c r="Y620" s="1186"/>
      <c r="Z620" s="1186"/>
      <c r="AA620" s="1186"/>
      <c r="AB620" s="1186"/>
      <c r="AC620" s="1186"/>
      <c r="AD620" s="1187"/>
    </row>
    <row r="621" spans="1:30" x14ac:dyDescent="0.2">
      <c r="A621">
        <f t="shared" si="43"/>
        <v>17</v>
      </c>
      <c r="B621">
        <v>612</v>
      </c>
      <c r="C621" s="1078">
        <v>3</v>
      </c>
      <c r="D621" s="1077" t="s">
        <v>4606</v>
      </c>
      <c r="E621" s="1077" t="s">
        <v>4609</v>
      </c>
      <c r="F621" s="1185">
        <v>1</v>
      </c>
      <c r="G621" s="1186"/>
      <c r="H621" s="1186"/>
      <c r="I621" s="1186"/>
      <c r="J621" s="1186"/>
      <c r="K621" s="1186"/>
      <c r="L621" s="1186"/>
      <c r="M621" s="1186"/>
      <c r="N621" s="1186"/>
      <c r="O621" s="1186"/>
      <c r="P621" s="1186"/>
      <c r="Q621" s="1186"/>
      <c r="R621" s="1186"/>
      <c r="S621" s="1186"/>
      <c r="T621" s="1186"/>
      <c r="U621" s="1186"/>
      <c r="V621" s="1186"/>
      <c r="W621" s="1186">
        <v>6.1</v>
      </c>
      <c r="X621" s="1186">
        <v>4.7</v>
      </c>
      <c r="Y621" s="1186">
        <v>5.5</v>
      </c>
      <c r="Z621" s="1186">
        <v>2.8</v>
      </c>
      <c r="AA621" s="1186"/>
      <c r="AB621" s="1186"/>
      <c r="AC621" s="1186"/>
      <c r="AD621" s="1187"/>
    </row>
    <row r="622" spans="1:30" x14ac:dyDescent="0.2">
      <c r="A622">
        <f t="shared" si="43"/>
        <v>17</v>
      </c>
      <c r="B622">
        <v>613</v>
      </c>
      <c r="C622" s="1078">
        <v>3</v>
      </c>
      <c r="D622" s="1077" t="s">
        <v>4606</v>
      </c>
      <c r="E622" s="1077" t="s">
        <v>4611</v>
      </c>
      <c r="F622" s="1185">
        <v>1</v>
      </c>
      <c r="G622" s="1186"/>
      <c r="H622" s="1186"/>
      <c r="I622" s="1186"/>
      <c r="J622" s="1186"/>
      <c r="K622" s="1186"/>
      <c r="L622" s="1186"/>
      <c r="M622" s="1186"/>
      <c r="N622" s="1186"/>
      <c r="O622" s="1186"/>
      <c r="P622" s="1186"/>
      <c r="Q622" s="1186"/>
      <c r="R622" s="1186"/>
      <c r="S622" s="1186"/>
      <c r="T622" s="1186"/>
      <c r="U622" s="1186"/>
      <c r="V622" s="1186"/>
      <c r="W622" s="1186">
        <v>8.1</v>
      </c>
      <c r="X622" s="1186">
        <v>4.8</v>
      </c>
      <c r="Y622" s="1186">
        <v>7.2</v>
      </c>
      <c r="Z622" s="1186">
        <v>2.8</v>
      </c>
      <c r="AA622" s="1186"/>
      <c r="AB622" s="1186"/>
      <c r="AC622" s="1186"/>
      <c r="AD622" s="1187"/>
    </row>
    <row r="623" spans="1:30" x14ac:dyDescent="0.2">
      <c r="A623">
        <f t="shared" si="43"/>
        <v>17</v>
      </c>
      <c r="B623">
        <v>614</v>
      </c>
      <c r="C623" s="1078">
        <v>3</v>
      </c>
      <c r="D623" s="1077" t="s">
        <v>4606</v>
      </c>
      <c r="E623" s="1077" t="s">
        <v>4613</v>
      </c>
      <c r="F623" s="1185">
        <v>1</v>
      </c>
      <c r="G623" s="1186"/>
      <c r="H623" s="1186"/>
      <c r="I623" s="1186"/>
      <c r="J623" s="1186"/>
      <c r="K623" s="1186"/>
      <c r="L623" s="1186"/>
      <c r="M623" s="1186"/>
      <c r="N623" s="1186"/>
      <c r="O623" s="1186"/>
      <c r="P623" s="1186"/>
      <c r="Q623" s="1186"/>
      <c r="R623" s="1186"/>
      <c r="S623" s="1186"/>
      <c r="T623" s="1186"/>
      <c r="U623" s="1186"/>
      <c r="V623" s="1186"/>
      <c r="W623" s="1186">
        <v>10.9</v>
      </c>
      <c r="X623" s="1186">
        <v>4.9000000000000004</v>
      </c>
      <c r="Y623" s="1186">
        <v>10</v>
      </c>
      <c r="Z623" s="1186">
        <v>2.9</v>
      </c>
      <c r="AA623" s="1186"/>
      <c r="AB623" s="1186"/>
      <c r="AC623" s="1186"/>
      <c r="AD623" s="1187"/>
    </row>
    <row r="624" spans="1:30" x14ac:dyDescent="0.2">
      <c r="A624">
        <f t="shared" si="43"/>
        <v>17</v>
      </c>
      <c r="B624">
        <v>615</v>
      </c>
      <c r="C624" s="1078">
        <v>3</v>
      </c>
      <c r="D624" s="1077" t="s">
        <v>4606</v>
      </c>
      <c r="E624" s="1077" t="s">
        <v>4614</v>
      </c>
      <c r="F624" s="1185">
        <v>1</v>
      </c>
      <c r="G624" s="1186"/>
      <c r="H624" s="1186"/>
      <c r="I624" s="1186"/>
      <c r="J624" s="1186"/>
      <c r="K624" s="1186"/>
      <c r="L624" s="1186"/>
      <c r="M624" s="1186"/>
      <c r="N624" s="1186"/>
      <c r="O624" s="1186"/>
      <c r="P624" s="1186"/>
      <c r="Q624" s="1186"/>
      <c r="R624" s="1186"/>
      <c r="S624" s="1186"/>
      <c r="T624" s="1186"/>
      <c r="U624" s="1186"/>
      <c r="V624" s="1186"/>
      <c r="W624" s="1186">
        <v>13.9</v>
      </c>
      <c r="X624" s="1186">
        <v>5</v>
      </c>
      <c r="Y624" s="1186">
        <v>12.8</v>
      </c>
      <c r="Z624" s="1186">
        <v>3</v>
      </c>
      <c r="AA624" s="1186"/>
      <c r="AB624" s="1186"/>
      <c r="AC624" s="1186"/>
      <c r="AD624" s="1187"/>
    </row>
    <row r="625" spans="1:30" x14ac:dyDescent="0.2">
      <c r="A625">
        <f t="shared" si="43"/>
        <v>17</v>
      </c>
      <c r="B625">
        <v>616</v>
      </c>
      <c r="C625" s="1078">
        <v>3</v>
      </c>
      <c r="D625" s="1077" t="s">
        <v>4606</v>
      </c>
      <c r="E625" s="1077" t="s">
        <v>4615</v>
      </c>
      <c r="F625" s="1185">
        <v>1</v>
      </c>
      <c r="G625" s="1186"/>
      <c r="H625" s="1186"/>
      <c r="I625" s="1186"/>
      <c r="J625" s="1186"/>
      <c r="K625" s="1186"/>
      <c r="L625" s="1186"/>
      <c r="M625" s="1186"/>
      <c r="N625" s="1186"/>
      <c r="O625" s="1186"/>
      <c r="P625" s="1186"/>
      <c r="Q625" s="1186"/>
      <c r="R625" s="1186"/>
      <c r="S625" s="1186"/>
      <c r="T625" s="1186"/>
      <c r="U625" s="1186"/>
      <c r="V625" s="1186"/>
      <c r="W625" s="1186">
        <v>17.5</v>
      </c>
      <c r="X625" s="1186">
        <v>4.7</v>
      </c>
      <c r="Y625" s="1186">
        <v>16.5</v>
      </c>
      <c r="Z625" s="1186">
        <v>2.9</v>
      </c>
      <c r="AA625" s="1186"/>
      <c r="AB625" s="1186"/>
      <c r="AC625" s="1186"/>
      <c r="AD625" s="1187"/>
    </row>
    <row r="626" spans="1:30" x14ac:dyDescent="0.2">
      <c r="A626">
        <f t="shared" si="43"/>
        <v>17</v>
      </c>
      <c r="B626">
        <v>617</v>
      </c>
      <c r="C626" s="1078">
        <v>3</v>
      </c>
      <c r="D626" s="1077" t="s">
        <v>4606</v>
      </c>
      <c r="E626" s="1077" t="s">
        <v>4617</v>
      </c>
      <c r="F626" s="1185">
        <v>1</v>
      </c>
      <c r="G626" s="1186"/>
      <c r="H626" s="1186"/>
      <c r="I626" s="1186"/>
      <c r="J626" s="1186"/>
      <c r="K626" s="1186"/>
      <c r="L626" s="1186"/>
      <c r="M626" s="1186"/>
      <c r="N626" s="1186"/>
      <c r="O626" s="1186"/>
      <c r="P626" s="1186"/>
      <c r="Q626" s="1186"/>
      <c r="R626" s="1186"/>
      <c r="S626" s="1186"/>
      <c r="T626" s="1186"/>
      <c r="U626" s="1186"/>
      <c r="V626" s="1186"/>
      <c r="W626" s="1186">
        <v>22.9</v>
      </c>
      <c r="X626" s="1186">
        <v>4.4000000000000004</v>
      </c>
      <c r="Y626" s="1186">
        <v>21.5</v>
      </c>
      <c r="Z626" s="1186">
        <v>2.9</v>
      </c>
      <c r="AA626" s="1186"/>
      <c r="AB626" s="1186"/>
      <c r="AC626" s="1186"/>
      <c r="AD626" s="1187"/>
    </row>
    <row r="627" spans="1:30" x14ac:dyDescent="0.2">
      <c r="A627">
        <f t="shared" si="43"/>
        <v>17</v>
      </c>
      <c r="B627">
        <v>618</v>
      </c>
      <c r="C627" s="1078">
        <v>3</v>
      </c>
      <c r="D627" s="1077" t="s">
        <v>4606</v>
      </c>
      <c r="E627" s="1077" t="s">
        <v>4618</v>
      </c>
      <c r="F627" s="1185">
        <v>2</v>
      </c>
      <c r="G627" s="1186"/>
      <c r="H627" s="1186"/>
      <c r="I627" s="1186"/>
      <c r="J627" s="1186"/>
      <c r="K627" s="1186"/>
      <c r="L627" s="1186"/>
      <c r="M627" s="1186"/>
      <c r="N627" s="1186"/>
      <c r="O627" s="1186"/>
      <c r="P627" s="1186"/>
      <c r="Q627" s="1186"/>
      <c r="R627" s="1186"/>
      <c r="S627" s="1186"/>
      <c r="T627" s="1186"/>
      <c r="U627" s="1186"/>
      <c r="V627" s="1186"/>
      <c r="W627" s="1186">
        <v>26.7</v>
      </c>
      <c r="X627" s="1186">
        <v>4.9000000000000004</v>
      </c>
      <c r="Y627" s="1186">
        <v>24.7</v>
      </c>
      <c r="Z627" s="1186">
        <v>3.1</v>
      </c>
      <c r="AA627" s="1186"/>
      <c r="AB627" s="1186"/>
      <c r="AC627" s="1186"/>
      <c r="AD627" s="1187"/>
    </row>
    <row r="628" spans="1:30" x14ac:dyDescent="0.2">
      <c r="A628">
        <f t="shared" si="43"/>
        <v>17</v>
      </c>
      <c r="B628">
        <v>619</v>
      </c>
      <c r="C628" s="1078">
        <v>3</v>
      </c>
      <c r="D628" s="1077" t="s">
        <v>4606</v>
      </c>
      <c r="E628" s="1077" t="s">
        <v>4619</v>
      </c>
      <c r="F628" s="1185">
        <v>2</v>
      </c>
      <c r="G628" s="1186"/>
      <c r="H628" s="1186"/>
      <c r="I628" s="1186"/>
      <c r="J628" s="1186"/>
      <c r="K628" s="1186"/>
      <c r="L628" s="1186"/>
      <c r="M628" s="1186"/>
      <c r="N628" s="1186"/>
      <c r="O628" s="1186"/>
      <c r="P628" s="1186"/>
      <c r="Q628" s="1186"/>
      <c r="R628" s="1186"/>
      <c r="S628" s="1186"/>
      <c r="T628" s="1186"/>
      <c r="U628" s="1186"/>
      <c r="V628" s="1186"/>
      <c r="W628" s="1186">
        <v>34.799999999999997</v>
      </c>
      <c r="X628" s="1186">
        <v>4.8</v>
      </c>
      <c r="Y628" s="1186">
        <v>32.1</v>
      </c>
      <c r="Z628" s="1186">
        <v>3</v>
      </c>
      <c r="AA628" s="1186"/>
      <c r="AB628" s="1186"/>
      <c r="AC628" s="1186"/>
      <c r="AD628" s="1187"/>
    </row>
    <row r="629" spans="1:30" x14ac:dyDescent="0.2">
      <c r="A629">
        <f t="shared" si="43"/>
        <v>17</v>
      </c>
      <c r="B629">
        <v>620</v>
      </c>
      <c r="C629" s="1078">
        <v>3</v>
      </c>
      <c r="D629" s="1077" t="s">
        <v>4606</v>
      </c>
      <c r="E629" s="1077" t="s">
        <v>4620</v>
      </c>
      <c r="F629" s="1185">
        <v>2</v>
      </c>
      <c r="G629" s="1186"/>
      <c r="H629" s="1186"/>
      <c r="I629" s="1186"/>
      <c r="J629" s="1186"/>
      <c r="K629" s="1186"/>
      <c r="L629" s="1186"/>
      <c r="M629" s="1186"/>
      <c r="N629" s="1186"/>
      <c r="O629" s="1186"/>
      <c r="P629" s="1186"/>
      <c r="Q629" s="1186"/>
      <c r="R629" s="1186"/>
      <c r="S629" s="1186"/>
      <c r="T629" s="1186"/>
      <c r="U629" s="1186"/>
      <c r="V629" s="1186"/>
      <c r="W629" s="1186">
        <v>52</v>
      </c>
      <c r="X629" s="1186">
        <v>5</v>
      </c>
      <c r="Y629" s="1186">
        <v>44.1</v>
      </c>
      <c r="Z629" s="1186">
        <v>2.8</v>
      </c>
      <c r="AA629" s="1186"/>
      <c r="AB629" s="1186"/>
      <c r="AC629" s="1186"/>
      <c r="AD629" s="1187"/>
    </row>
    <row r="630" spans="1:30" x14ac:dyDescent="0.2">
      <c r="A630">
        <f t="shared" si="43"/>
        <v>17</v>
      </c>
      <c r="B630">
        <v>621</v>
      </c>
      <c r="C630" s="1200">
        <v>3</v>
      </c>
      <c r="D630" s="1201" t="s">
        <v>4606</v>
      </c>
      <c r="E630" s="1201" t="s">
        <v>4621</v>
      </c>
      <c r="F630" s="1185">
        <v>2</v>
      </c>
      <c r="G630" s="1186"/>
      <c r="H630" s="1186"/>
      <c r="I630" s="1186"/>
      <c r="J630" s="1186"/>
      <c r="K630" s="1186"/>
      <c r="L630" s="1186"/>
      <c r="M630" s="1186"/>
      <c r="N630" s="1186"/>
      <c r="O630" s="1186"/>
      <c r="P630" s="1186"/>
      <c r="Q630" s="1186"/>
      <c r="R630" s="1186"/>
      <c r="S630" s="1186"/>
      <c r="T630" s="1186"/>
      <c r="U630" s="1186"/>
      <c r="V630" s="1186"/>
      <c r="W630" s="1186">
        <v>73.5</v>
      </c>
      <c r="X630" s="1186">
        <v>4.8</v>
      </c>
      <c r="Y630" s="1186">
        <v>67.3</v>
      </c>
      <c r="Z630" s="1186">
        <v>3</v>
      </c>
      <c r="AA630" s="1186"/>
      <c r="AB630" s="1186"/>
      <c r="AC630" s="1186"/>
      <c r="AD630" s="1187"/>
    </row>
    <row r="631" spans="1:30" x14ac:dyDescent="0.2">
      <c r="A631">
        <f t="shared" si="43"/>
        <v>17</v>
      </c>
      <c r="B631">
        <v>622</v>
      </c>
      <c r="C631" s="1200">
        <v>3</v>
      </c>
      <c r="D631" s="1201" t="s">
        <v>4606</v>
      </c>
      <c r="E631" s="1201" t="s">
        <v>4796</v>
      </c>
      <c r="F631" s="1185">
        <v>2</v>
      </c>
      <c r="G631" s="1186"/>
      <c r="H631" s="1186"/>
      <c r="I631" s="1186"/>
      <c r="J631" s="1186"/>
      <c r="K631" s="1186"/>
      <c r="L631" s="1186"/>
      <c r="M631" s="1186"/>
      <c r="N631" s="1186"/>
      <c r="O631" s="1186"/>
      <c r="P631" s="1186"/>
      <c r="Q631" s="1186"/>
      <c r="R631" s="1186"/>
      <c r="S631" s="1186"/>
      <c r="T631" s="1186"/>
      <c r="U631" s="1186"/>
      <c r="V631" s="1186"/>
      <c r="W631" s="1186">
        <v>86</v>
      </c>
      <c r="X631" s="1186">
        <v>4.7</v>
      </c>
      <c r="Y631" s="1186">
        <v>78.900000000000006</v>
      </c>
      <c r="Z631" s="1186">
        <v>3</v>
      </c>
      <c r="AA631" s="1186"/>
      <c r="AB631" s="1186"/>
      <c r="AC631" s="1186"/>
      <c r="AD631" s="1187"/>
    </row>
    <row r="632" spans="1:30" x14ac:dyDescent="0.2">
      <c r="A632">
        <f t="shared" si="43"/>
        <v>17</v>
      </c>
      <c r="B632">
        <v>623</v>
      </c>
      <c r="C632" s="1200">
        <v>3</v>
      </c>
      <c r="D632" s="1201" t="s">
        <v>4606</v>
      </c>
      <c r="E632" s="1201" t="s">
        <v>4797</v>
      </c>
      <c r="F632" s="1185">
        <v>2</v>
      </c>
      <c r="G632" s="1186"/>
      <c r="H632" s="1186"/>
      <c r="I632" s="1186"/>
      <c r="J632" s="1186"/>
      <c r="K632" s="1186"/>
      <c r="L632" s="1186"/>
      <c r="M632" s="1186"/>
      <c r="N632" s="1186"/>
      <c r="O632" s="1186"/>
      <c r="P632" s="1186"/>
      <c r="Q632" s="1186"/>
      <c r="R632" s="1186"/>
      <c r="S632" s="1186"/>
      <c r="T632" s="1186"/>
      <c r="U632" s="1186"/>
      <c r="V632" s="1186"/>
      <c r="W632" s="1186">
        <v>138.1</v>
      </c>
      <c r="X632" s="1186">
        <v>4.5999999999999996</v>
      </c>
      <c r="Y632" s="1186">
        <v>129.6</v>
      </c>
      <c r="Z632" s="1186">
        <v>3.1</v>
      </c>
      <c r="AA632" s="1186"/>
      <c r="AB632" s="1186"/>
      <c r="AC632" s="1186"/>
      <c r="AD632" s="1187"/>
    </row>
    <row r="633" spans="1:30" x14ac:dyDescent="0.2">
      <c r="A633">
        <f t="shared" si="43"/>
        <v>17</v>
      </c>
      <c r="B633">
        <v>624</v>
      </c>
      <c r="C633" s="1200">
        <v>3</v>
      </c>
      <c r="D633" s="1201" t="s">
        <v>4606</v>
      </c>
      <c r="E633" s="1201" t="s">
        <v>4610</v>
      </c>
      <c r="F633" s="1185">
        <v>1</v>
      </c>
      <c r="G633" s="1186"/>
      <c r="H633" s="1186"/>
      <c r="I633" s="1186"/>
      <c r="J633" s="1186"/>
      <c r="K633" s="1186"/>
      <c r="L633" s="1186"/>
      <c r="M633" s="1186"/>
      <c r="N633" s="1186"/>
      <c r="O633" s="1186"/>
      <c r="P633" s="1186"/>
      <c r="Q633" s="1186"/>
      <c r="R633" s="1186"/>
      <c r="S633" s="1186"/>
      <c r="T633" s="1186"/>
      <c r="U633" s="1186"/>
      <c r="V633" s="1186"/>
      <c r="W633" s="1186">
        <v>7.8</v>
      </c>
      <c r="X633" s="1186">
        <v>4.8</v>
      </c>
      <c r="Y633" s="1186">
        <v>7.1</v>
      </c>
      <c r="Z633" s="1186">
        <v>2.9</v>
      </c>
      <c r="AA633" s="1186"/>
      <c r="AB633" s="1186"/>
      <c r="AC633" s="1186"/>
      <c r="AD633" s="1187"/>
    </row>
    <row r="634" spans="1:30" x14ac:dyDescent="0.2">
      <c r="A634">
        <f t="shared" si="43"/>
        <v>17</v>
      </c>
      <c r="B634">
        <v>625</v>
      </c>
      <c r="C634" s="1200">
        <v>3</v>
      </c>
      <c r="D634" s="1201" t="s">
        <v>4606</v>
      </c>
      <c r="E634" s="1201" t="s">
        <v>4612</v>
      </c>
      <c r="F634" s="1185">
        <v>1</v>
      </c>
      <c r="G634" s="1186"/>
      <c r="H634" s="1186"/>
      <c r="I634" s="1186"/>
      <c r="J634" s="1186"/>
      <c r="K634" s="1186"/>
      <c r="L634" s="1186"/>
      <c r="M634" s="1186"/>
      <c r="N634" s="1186"/>
      <c r="O634" s="1186"/>
      <c r="P634" s="1186"/>
      <c r="Q634" s="1186"/>
      <c r="R634" s="1186"/>
      <c r="S634" s="1186"/>
      <c r="T634" s="1186"/>
      <c r="U634" s="1186"/>
      <c r="V634" s="1186"/>
      <c r="W634" s="1186">
        <v>10.6</v>
      </c>
      <c r="X634" s="1186">
        <v>5</v>
      </c>
      <c r="Y634" s="1186">
        <v>9.8000000000000007</v>
      </c>
      <c r="Z634" s="1186">
        <v>3.1</v>
      </c>
      <c r="AA634" s="1186"/>
      <c r="AB634" s="1186"/>
      <c r="AC634" s="1186"/>
      <c r="AD634" s="1187"/>
    </row>
    <row r="635" spans="1:30" x14ac:dyDescent="0.2">
      <c r="A635">
        <f t="shared" si="43"/>
        <v>17</v>
      </c>
      <c r="B635">
        <v>626</v>
      </c>
      <c r="C635" s="1200">
        <v>3</v>
      </c>
      <c r="D635" s="1201" t="s">
        <v>4606</v>
      </c>
      <c r="E635" s="1201" t="s">
        <v>4798</v>
      </c>
      <c r="F635" s="1185">
        <v>1</v>
      </c>
      <c r="G635" s="1186"/>
      <c r="H635" s="1186"/>
      <c r="I635" s="1186"/>
      <c r="J635" s="1186"/>
      <c r="K635" s="1186"/>
      <c r="L635" s="1186"/>
      <c r="M635" s="1186"/>
      <c r="N635" s="1186"/>
      <c r="O635" s="1186"/>
      <c r="P635" s="1186"/>
      <c r="Q635" s="1186"/>
      <c r="R635" s="1186"/>
      <c r="S635" s="1186"/>
      <c r="T635" s="1186"/>
      <c r="U635" s="1186"/>
      <c r="V635" s="1186"/>
      <c r="W635" s="1186">
        <v>5.9</v>
      </c>
      <c r="X635" s="1186">
        <v>4.7</v>
      </c>
      <c r="Y635" s="1186">
        <v>5.4</v>
      </c>
      <c r="Z635" s="1186">
        <v>2.9</v>
      </c>
      <c r="AA635" s="1186"/>
      <c r="AB635" s="1186"/>
      <c r="AC635" s="1186"/>
      <c r="AD635" s="1187"/>
    </row>
    <row r="636" spans="1:30" x14ac:dyDescent="0.2">
      <c r="A636">
        <f t="shared" si="43"/>
        <v>17</v>
      </c>
      <c r="B636">
        <v>627</v>
      </c>
      <c r="C636" s="1200">
        <v>3</v>
      </c>
      <c r="D636" s="1201" t="s">
        <v>4606</v>
      </c>
      <c r="E636" s="1201" t="s">
        <v>4799</v>
      </c>
      <c r="F636" s="1185">
        <v>1</v>
      </c>
      <c r="G636" s="1186"/>
      <c r="H636" s="1186"/>
      <c r="I636" s="1186"/>
      <c r="J636" s="1186"/>
      <c r="K636" s="1186"/>
      <c r="L636" s="1186"/>
      <c r="M636" s="1186"/>
      <c r="N636" s="1186"/>
      <c r="O636" s="1186"/>
      <c r="P636" s="1186"/>
      <c r="Q636" s="1186"/>
      <c r="R636" s="1186"/>
      <c r="S636" s="1186"/>
      <c r="T636" s="1186"/>
      <c r="U636" s="1186"/>
      <c r="V636" s="1186"/>
      <c r="W636" s="1186">
        <v>7.8</v>
      </c>
      <c r="X636" s="1186">
        <v>4.8</v>
      </c>
      <c r="Y636" s="1186">
        <v>7.1</v>
      </c>
      <c r="Z636" s="1186">
        <v>2.9</v>
      </c>
      <c r="AA636" s="1186"/>
      <c r="AB636" s="1186"/>
      <c r="AC636" s="1186"/>
      <c r="AD636" s="1187"/>
    </row>
    <row r="637" spans="1:30" x14ac:dyDescent="0.2">
      <c r="A637">
        <f t="shared" si="43"/>
        <v>17</v>
      </c>
      <c r="B637">
        <v>628</v>
      </c>
      <c r="C637" s="1200">
        <v>3</v>
      </c>
      <c r="D637" s="1201" t="s">
        <v>4606</v>
      </c>
      <c r="E637" s="1201" t="s">
        <v>4800</v>
      </c>
      <c r="F637" s="1185">
        <v>1</v>
      </c>
      <c r="G637" s="1186"/>
      <c r="H637" s="1186"/>
      <c r="I637" s="1186"/>
      <c r="J637" s="1186"/>
      <c r="K637" s="1186"/>
      <c r="L637" s="1186"/>
      <c r="M637" s="1186"/>
      <c r="N637" s="1186"/>
      <c r="O637" s="1186"/>
      <c r="P637" s="1186"/>
      <c r="Q637" s="1186"/>
      <c r="R637" s="1186"/>
      <c r="S637" s="1186"/>
      <c r="T637" s="1186"/>
      <c r="U637" s="1186"/>
      <c r="V637" s="1186"/>
      <c r="W637" s="1186">
        <v>10.5</v>
      </c>
      <c r="X637" s="1186">
        <v>4.9000000000000004</v>
      </c>
      <c r="Y637" s="1186">
        <v>9.5</v>
      </c>
      <c r="Z637" s="1186">
        <v>2.9</v>
      </c>
      <c r="AA637" s="1186"/>
      <c r="AB637" s="1186"/>
      <c r="AC637" s="1186"/>
      <c r="AD637" s="1187"/>
    </row>
    <row r="638" spans="1:30" x14ac:dyDescent="0.2">
      <c r="A638">
        <f t="shared" si="43"/>
        <v>17</v>
      </c>
      <c r="B638">
        <v>629</v>
      </c>
      <c r="C638" s="1200">
        <v>3</v>
      </c>
      <c r="D638" s="1201" t="s">
        <v>4606</v>
      </c>
      <c r="E638" s="1201" t="s">
        <v>4616</v>
      </c>
      <c r="F638" s="1185">
        <v>2</v>
      </c>
      <c r="G638" s="1186"/>
      <c r="H638" s="1186"/>
      <c r="I638" s="1186"/>
      <c r="J638" s="1186"/>
      <c r="K638" s="1186"/>
      <c r="L638" s="1186"/>
      <c r="M638" s="1186"/>
      <c r="N638" s="1186"/>
      <c r="O638" s="1186"/>
      <c r="P638" s="1186"/>
      <c r="Q638" s="1186"/>
      <c r="R638" s="1186"/>
      <c r="S638" s="1186"/>
      <c r="T638" s="1186"/>
      <c r="U638" s="1186"/>
      <c r="V638" s="1186"/>
      <c r="W638" s="1186">
        <v>21.4</v>
      </c>
      <c r="X638" s="1186">
        <v>4.4000000000000004</v>
      </c>
      <c r="Y638" s="1186">
        <v>21</v>
      </c>
      <c r="Z638" s="1186">
        <v>3</v>
      </c>
      <c r="AA638" s="1186"/>
      <c r="AB638" s="1186"/>
      <c r="AC638" s="1186"/>
      <c r="AD638" s="1187"/>
    </row>
    <row r="639" spans="1:30" x14ac:dyDescent="0.2">
      <c r="A639">
        <f t="shared" si="43"/>
        <v>17</v>
      </c>
      <c r="B639">
        <v>630</v>
      </c>
      <c r="C639" s="1200">
        <v>3</v>
      </c>
      <c r="D639" s="1201" t="s">
        <v>4606</v>
      </c>
      <c r="E639" s="1201" t="s">
        <v>4801</v>
      </c>
      <c r="F639" s="1185">
        <v>2</v>
      </c>
      <c r="G639" s="1186"/>
      <c r="H639" s="1186"/>
      <c r="I639" s="1186"/>
      <c r="J639" s="1186"/>
      <c r="K639" s="1186"/>
      <c r="L639" s="1186"/>
      <c r="M639" s="1186"/>
      <c r="N639" s="1186"/>
      <c r="O639" s="1186"/>
      <c r="P639" s="1186"/>
      <c r="Q639" s="1186"/>
      <c r="R639" s="1186"/>
      <c r="S639" s="1186"/>
      <c r="T639" s="1186"/>
      <c r="U639" s="1186"/>
      <c r="V639" s="1186"/>
      <c r="W639" s="1186">
        <v>88.6</v>
      </c>
      <c r="X639" s="1186">
        <v>4.3</v>
      </c>
      <c r="Y639" s="1186">
        <v>84.9</v>
      </c>
      <c r="Z639" s="1186">
        <v>2.9</v>
      </c>
      <c r="AA639" s="1186"/>
      <c r="AB639" s="1186"/>
      <c r="AC639" s="1186"/>
      <c r="AD639" s="1187"/>
    </row>
    <row r="640" spans="1:30" x14ac:dyDescent="0.2">
      <c r="A640">
        <f t="shared" si="43"/>
        <v>17</v>
      </c>
      <c r="B640">
        <v>631</v>
      </c>
      <c r="C640" s="1200">
        <v>3</v>
      </c>
      <c r="D640" s="1201" t="s">
        <v>4606</v>
      </c>
      <c r="E640" s="1201" t="s">
        <v>4802</v>
      </c>
      <c r="F640" s="1185">
        <v>2</v>
      </c>
      <c r="G640" s="1186"/>
      <c r="H640" s="1186"/>
      <c r="I640" s="1186"/>
      <c r="J640" s="1186"/>
      <c r="K640" s="1186"/>
      <c r="L640" s="1186"/>
      <c r="M640" s="1186"/>
      <c r="N640" s="1186"/>
      <c r="O640" s="1186"/>
      <c r="P640" s="1186"/>
      <c r="Q640" s="1186"/>
      <c r="R640" s="1186"/>
      <c r="S640" s="1186"/>
      <c r="T640" s="1186"/>
      <c r="U640" s="1186"/>
      <c r="V640" s="1186"/>
      <c r="W640" s="1186">
        <v>33.700000000000003</v>
      </c>
      <c r="X640" s="1186">
        <v>4.5999999999999996</v>
      </c>
      <c r="Y640" s="1186">
        <v>30.3</v>
      </c>
      <c r="Z640" s="1186">
        <v>2.9</v>
      </c>
      <c r="AA640" s="1186"/>
      <c r="AB640" s="1186"/>
      <c r="AC640" s="1186"/>
      <c r="AD640" s="1187"/>
    </row>
    <row r="641" spans="1:30" x14ac:dyDescent="0.2">
      <c r="A641">
        <f t="shared" si="43"/>
        <v>17</v>
      </c>
      <c r="B641">
        <v>632</v>
      </c>
      <c r="C641" s="1200">
        <v>3</v>
      </c>
      <c r="D641" s="1201" t="s">
        <v>4606</v>
      </c>
      <c r="E641" s="1201" t="s">
        <v>4803</v>
      </c>
      <c r="F641" s="1185">
        <v>2</v>
      </c>
      <c r="G641" s="1186"/>
      <c r="H641" s="1186"/>
      <c r="I641" s="1186"/>
      <c r="J641" s="1186"/>
      <c r="K641" s="1186"/>
      <c r="L641" s="1186"/>
      <c r="M641" s="1186"/>
      <c r="N641" s="1186"/>
      <c r="O641" s="1186"/>
      <c r="P641" s="1186"/>
      <c r="Q641" s="1186"/>
      <c r="R641" s="1186"/>
      <c r="S641" s="1186"/>
      <c r="T641" s="1186"/>
      <c r="U641" s="1186"/>
      <c r="V641" s="1186"/>
      <c r="W641" s="1186">
        <v>48.4</v>
      </c>
      <c r="X641" s="1186">
        <v>4.5</v>
      </c>
      <c r="Y641" s="1186">
        <v>43.2</v>
      </c>
      <c r="Z641" s="1186">
        <v>2.7</v>
      </c>
      <c r="AA641" s="1186"/>
      <c r="AB641" s="1186"/>
      <c r="AC641" s="1186"/>
      <c r="AD641" s="1187"/>
    </row>
    <row r="642" spans="1:30" x14ac:dyDescent="0.2">
      <c r="A642">
        <f t="shared" si="43"/>
        <v>17</v>
      </c>
      <c r="B642">
        <v>633</v>
      </c>
      <c r="C642" s="1200">
        <v>3</v>
      </c>
      <c r="D642" s="1201" t="s">
        <v>4606</v>
      </c>
      <c r="E642" s="1201" t="s">
        <v>4804</v>
      </c>
      <c r="F642" s="1185">
        <v>2</v>
      </c>
      <c r="G642" s="1186"/>
      <c r="H642" s="1186"/>
      <c r="I642" s="1186"/>
      <c r="J642" s="1186"/>
      <c r="K642" s="1186"/>
      <c r="L642" s="1186"/>
      <c r="M642" s="1186"/>
      <c r="N642" s="1186"/>
      <c r="O642" s="1186"/>
      <c r="P642" s="1186"/>
      <c r="Q642" s="1186"/>
      <c r="R642" s="1186"/>
      <c r="S642" s="1186"/>
      <c r="T642" s="1186"/>
      <c r="U642" s="1186"/>
      <c r="V642" s="1186"/>
      <c r="W642" s="1186">
        <v>69.8</v>
      </c>
      <c r="X642" s="1186">
        <v>4.4000000000000004</v>
      </c>
      <c r="Y642" s="1186">
        <v>64.5</v>
      </c>
      <c r="Z642" s="1186">
        <v>2.8</v>
      </c>
      <c r="AA642" s="1186"/>
      <c r="AB642" s="1186"/>
      <c r="AC642" s="1186"/>
      <c r="AD642" s="1187"/>
    </row>
    <row r="643" spans="1:30" x14ac:dyDescent="0.2">
      <c r="A643">
        <f t="shared" si="43"/>
        <v>17</v>
      </c>
      <c r="B643">
        <v>634</v>
      </c>
      <c r="C643" s="1200">
        <v>3</v>
      </c>
      <c r="D643" s="1201" t="s">
        <v>4606</v>
      </c>
      <c r="E643" s="1201" t="s">
        <v>4927</v>
      </c>
      <c r="F643" s="1185">
        <v>2</v>
      </c>
      <c r="G643" s="1186"/>
      <c r="H643" s="1186"/>
      <c r="I643" s="1186"/>
      <c r="J643" s="1186"/>
      <c r="K643" s="1186"/>
      <c r="L643" s="1186"/>
      <c r="M643" s="1186"/>
      <c r="N643" s="1186"/>
      <c r="O643" s="1186"/>
      <c r="P643" s="1186"/>
      <c r="Q643" s="1186"/>
      <c r="R643" s="1186"/>
      <c r="S643" s="1186"/>
      <c r="T643" s="1186"/>
      <c r="U643" s="1186"/>
      <c r="V643" s="1186"/>
      <c r="W643" s="1186">
        <v>82.4</v>
      </c>
      <c r="X643" s="1186">
        <v>4.4000000000000004</v>
      </c>
      <c r="Y643" s="1186">
        <v>71.5</v>
      </c>
      <c r="Z643" s="1186">
        <v>2.6</v>
      </c>
      <c r="AA643" s="1186"/>
      <c r="AB643" s="1186"/>
      <c r="AC643" s="1186"/>
      <c r="AD643" s="1187"/>
    </row>
    <row r="644" spans="1:30" x14ac:dyDescent="0.2">
      <c r="A644">
        <f t="shared" si="43"/>
        <v>17</v>
      </c>
      <c r="B644">
        <v>635</v>
      </c>
      <c r="C644" s="1200">
        <v>3</v>
      </c>
      <c r="D644" s="1201" t="s">
        <v>4606</v>
      </c>
      <c r="E644" s="1201" t="s">
        <v>4928</v>
      </c>
      <c r="F644" s="1185">
        <v>2</v>
      </c>
      <c r="G644" s="1186"/>
      <c r="H644" s="1186"/>
      <c r="I644" s="1186"/>
      <c r="J644" s="1186"/>
      <c r="K644" s="1186"/>
      <c r="L644" s="1186"/>
      <c r="M644" s="1186"/>
      <c r="N644" s="1186"/>
      <c r="O644" s="1186"/>
      <c r="P644" s="1186"/>
      <c r="Q644" s="1186"/>
      <c r="R644" s="1186"/>
      <c r="S644" s="1186"/>
      <c r="T644" s="1186"/>
      <c r="U644" s="1186"/>
      <c r="V644" s="1186"/>
      <c r="W644" s="1186">
        <v>108.5</v>
      </c>
      <c r="X644" s="1186">
        <v>4.2</v>
      </c>
      <c r="Y644" s="1186">
        <v>103.1</v>
      </c>
      <c r="Z644" s="1186">
        <v>2.82</v>
      </c>
      <c r="AA644" s="1186"/>
      <c r="AB644" s="1186"/>
      <c r="AC644" s="1186"/>
      <c r="AD644" s="1187"/>
    </row>
    <row r="645" spans="1:30" x14ac:dyDescent="0.2">
      <c r="A645">
        <f t="shared" si="43"/>
        <v>17</v>
      </c>
      <c r="B645">
        <v>636</v>
      </c>
      <c r="C645" s="1200">
        <v>4</v>
      </c>
      <c r="D645" s="1201" t="s">
        <v>4606</v>
      </c>
      <c r="E645" s="1201" t="s">
        <v>4805</v>
      </c>
      <c r="F645" s="1185">
        <v>1</v>
      </c>
      <c r="G645" s="1186"/>
      <c r="H645" s="1186"/>
      <c r="I645" s="1186"/>
      <c r="J645" s="1186"/>
      <c r="K645" s="1186"/>
      <c r="L645" s="1186"/>
      <c r="M645" s="1186"/>
      <c r="N645" s="1186"/>
      <c r="O645" s="1186"/>
      <c r="P645" s="1186"/>
      <c r="Q645" s="1186"/>
      <c r="R645" s="1186"/>
      <c r="S645" s="1186"/>
      <c r="T645" s="1186"/>
      <c r="U645" s="1186"/>
      <c r="V645" s="1186"/>
      <c r="W645" s="1186"/>
      <c r="X645" s="1186"/>
      <c r="Y645" s="1186"/>
      <c r="Z645" s="1186"/>
      <c r="AA645" s="1186">
        <v>9.6</v>
      </c>
      <c r="AB645" s="1186">
        <v>5.9</v>
      </c>
      <c r="AC645" s="1186">
        <v>8.4</v>
      </c>
      <c r="AD645" s="1187">
        <v>3.2</v>
      </c>
    </row>
    <row r="646" spans="1:30" x14ac:dyDescent="0.2">
      <c r="A646">
        <f t="shared" si="43"/>
        <v>17</v>
      </c>
      <c r="B646">
        <v>637</v>
      </c>
      <c r="C646" s="1200">
        <v>4</v>
      </c>
      <c r="D646" s="1201" t="s">
        <v>4606</v>
      </c>
      <c r="E646" s="1201" t="s">
        <v>4806</v>
      </c>
      <c r="F646" s="1185">
        <v>1</v>
      </c>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v>13.1</v>
      </c>
      <c r="AB646" s="1186">
        <v>6.1</v>
      </c>
      <c r="AC646" s="1186">
        <v>11.5</v>
      </c>
      <c r="AD646" s="1187">
        <v>3.3</v>
      </c>
    </row>
    <row r="647" spans="1:30" x14ac:dyDescent="0.2">
      <c r="A647">
        <f t="shared" si="43"/>
        <v>17</v>
      </c>
      <c r="B647">
        <v>638</v>
      </c>
      <c r="C647" s="1200">
        <v>4</v>
      </c>
      <c r="D647" s="1201" t="s">
        <v>4606</v>
      </c>
      <c r="E647" s="1201" t="s">
        <v>4807</v>
      </c>
      <c r="F647" s="1185">
        <v>1</v>
      </c>
      <c r="G647" s="1186"/>
      <c r="H647" s="1186"/>
      <c r="I647" s="1186"/>
      <c r="J647" s="1186"/>
      <c r="K647" s="1186"/>
      <c r="L647" s="1186"/>
      <c r="M647" s="1186"/>
      <c r="N647" s="1186"/>
      <c r="O647" s="1186"/>
      <c r="P647" s="1186"/>
      <c r="Q647" s="1186"/>
      <c r="R647" s="1186"/>
      <c r="S647" s="1186"/>
      <c r="T647" s="1186"/>
      <c r="U647" s="1186"/>
      <c r="V647" s="1186"/>
      <c r="W647" s="1186"/>
      <c r="X647" s="1186"/>
      <c r="Y647" s="1186"/>
      <c r="Z647" s="1186"/>
      <c r="AA647" s="1186">
        <v>17.100000000000001</v>
      </c>
      <c r="AB647" s="1186">
        <v>5.8</v>
      </c>
      <c r="AC647" s="1186">
        <v>15.1</v>
      </c>
      <c r="AD647" s="1187">
        <v>3.6</v>
      </c>
    </row>
    <row r="648" spans="1:30" x14ac:dyDescent="0.2">
      <c r="A648">
        <f t="shared" si="43"/>
        <v>17</v>
      </c>
      <c r="B648">
        <v>639</v>
      </c>
      <c r="C648" s="1200">
        <v>4</v>
      </c>
      <c r="D648" s="1201" t="s">
        <v>4606</v>
      </c>
      <c r="E648" s="1201" t="s">
        <v>4808</v>
      </c>
      <c r="F648" s="1185">
        <v>1</v>
      </c>
      <c r="G648" s="1186"/>
      <c r="H648" s="1186"/>
      <c r="I648" s="1186"/>
      <c r="J648" s="1186"/>
      <c r="K648" s="1186"/>
      <c r="L648" s="1186"/>
      <c r="M648" s="1186"/>
      <c r="N648" s="1186"/>
      <c r="O648" s="1186"/>
      <c r="P648" s="1186"/>
      <c r="Q648" s="1186"/>
      <c r="R648" s="1186"/>
      <c r="S648" s="1186"/>
      <c r="T648" s="1186"/>
      <c r="U648" s="1186"/>
      <c r="V648" s="1186"/>
      <c r="W648" s="1186"/>
      <c r="X648" s="1186"/>
      <c r="Y648" s="1186"/>
      <c r="Z648" s="1186"/>
      <c r="AA648" s="1186">
        <v>22.3</v>
      </c>
      <c r="AB648" s="1186">
        <v>5.7</v>
      </c>
      <c r="AC648" s="1186">
        <v>20</v>
      </c>
      <c r="AD648" s="1187">
        <v>3.6</v>
      </c>
    </row>
    <row r="649" spans="1:30" x14ac:dyDescent="0.2">
      <c r="A649">
        <f t="shared" si="43"/>
        <v>17</v>
      </c>
      <c r="B649">
        <v>640</v>
      </c>
      <c r="C649" s="1200">
        <v>4</v>
      </c>
      <c r="D649" s="1201" t="s">
        <v>4606</v>
      </c>
      <c r="E649" s="1201" t="s">
        <v>4809</v>
      </c>
      <c r="F649" s="1185">
        <v>2</v>
      </c>
      <c r="G649" s="1186"/>
      <c r="H649" s="1186"/>
      <c r="I649" s="1186"/>
      <c r="J649" s="1186"/>
      <c r="K649" s="1186"/>
      <c r="L649" s="1186"/>
      <c r="M649" s="1186"/>
      <c r="N649" s="1186"/>
      <c r="O649" s="1186"/>
      <c r="P649" s="1186"/>
      <c r="Q649" s="1186"/>
      <c r="R649" s="1186"/>
      <c r="S649" s="1186"/>
      <c r="T649" s="1186"/>
      <c r="U649" s="1186"/>
      <c r="V649" s="1186"/>
      <c r="W649" s="1186"/>
      <c r="X649" s="1186"/>
      <c r="Y649" s="1186"/>
      <c r="Z649" s="1186"/>
      <c r="AA649" s="1186">
        <v>35.6</v>
      </c>
      <c r="AB649" s="1186">
        <v>6.2</v>
      </c>
      <c r="AC649" s="1186">
        <v>32.200000000000003</v>
      </c>
      <c r="AD649" s="1187">
        <v>3.8</v>
      </c>
    </row>
    <row r="650" spans="1:30" x14ac:dyDescent="0.2">
      <c r="A650">
        <f t="shared" si="43"/>
        <v>17</v>
      </c>
      <c r="B650">
        <v>641</v>
      </c>
      <c r="C650" s="1200">
        <v>4</v>
      </c>
      <c r="D650" s="1201" t="s">
        <v>4606</v>
      </c>
      <c r="E650" s="1201" t="s">
        <v>4810</v>
      </c>
      <c r="F650" s="1185">
        <v>2</v>
      </c>
      <c r="G650" s="1186"/>
      <c r="H650" s="1186"/>
      <c r="I650" s="1186"/>
      <c r="J650" s="1186"/>
      <c r="K650" s="1186"/>
      <c r="L650" s="1186"/>
      <c r="M650" s="1186"/>
      <c r="N650" s="1186"/>
      <c r="O650" s="1186"/>
      <c r="P650" s="1186"/>
      <c r="Q650" s="1186"/>
      <c r="R650" s="1186"/>
      <c r="S650" s="1186"/>
      <c r="T650" s="1186"/>
      <c r="U650" s="1186"/>
      <c r="V650" s="1186"/>
      <c r="W650" s="1186"/>
      <c r="X650" s="1186"/>
      <c r="Y650" s="1186"/>
      <c r="Z650" s="1186"/>
      <c r="AA650" s="1186">
        <v>46.2</v>
      </c>
      <c r="AB650" s="1186">
        <v>5.8</v>
      </c>
      <c r="AC650" s="1186">
        <v>42.5</v>
      </c>
      <c r="AD650" s="1187">
        <v>3.7</v>
      </c>
    </row>
    <row r="651" spans="1:30" x14ac:dyDescent="0.2">
      <c r="A651">
        <f t="shared" si="43"/>
        <v>17</v>
      </c>
      <c r="B651">
        <v>642</v>
      </c>
      <c r="C651" s="1200">
        <v>4</v>
      </c>
      <c r="D651" s="1201" t="s">
        <v>4606</v>
      </c>
      <c r="E651" s="1201" t="s">
        <v>4811</v>
      </c>
      <c r="F651" s="1185">
        <v>2</v>
      </c>
      <c r="G651" s="1186"/>
      <c r="H651" s="1186"/>
      <c r="I651" s="1186"/>
      <c r="J651" s="1186"/>
      <c r="K651" s="1186"/>
      <c r="L651" s="1186"/>
      <c r="M651" s="1186"/>
      <c r="N651" s="1186"/>
      <c r="O651" s="1186"/>
      <c r="P651" s="1186"/>
      <c r="Q651" s="1186"/>
      <c r="R651" s="1186"/>
      <c r="S651" s="1186"/>
      <c r="T651" s="1186"/>
      <c r="U651" s="1186"/>
      <c r="V651" s="1186"/>
      <c r="W651" s="1186"/>
      <c r="X651" s="1186"/>
      <c r="Y651" s="1186"/>
      <c r="Z651" s="1186"/>
      <c r="AA651" s="1186">
        <v>68.900000000000006</v>
      </c>
      <c r="AB651" s="1186">
        <v>6.2</v>
      </c>
      <c r="AC651" s="1186">
        <v>59.9</v>
      </c>
      <c r="AD651" s="1187">
        <v>3.7</v>
      </c>
    </row>
    <row r="652" spans="1:30" x14ac:dyDescent="0.2">
      <c r="A652">
        <f t="shared" ref="A652:A715" si="44">A651+(D652&lt;&gt;D651)*1</f>
        <v>17</v>
      </c>
      <c r="B652">
        <v>643</v>
      </c>
      <c r="C652" s="1200">
        <v>4</v>
      </c>
      <c r="D652" s="1201" t="s">
        <v>4606</v>
      </c>
      <c r="E652" s="1201" t="s">
        <v>4812</v>
      </c>
      <c r="F652" s="1185">
        <v>2</v>
      </c>
      <c r="G652" s="1186"/>
      <c r="H652" s="1186"/>
      <c r="I652" s="1186"/>
      <c r="J652" s="1186"/>
      <c r="K652" s="1186"/>
      <c r="L652" s="1186"/>
      <c r="M652" s="1186"/>
      <c r="N652" s="1186"/>
      <c r="O652" s="1186"/>
      <c r="P652" s="1186"/>
      <c r="Q652" s="1186"/>
      <c r="R652" s="1186"/>
      <c r="S652" s="1186"/>
      <c r="T652" s="1186"/>
      <c r="U652" s="1186"/>
      <c r="V652" s="1186"/>
      <c r="W652" s="1186"/>
      <c r="X652" s="1186"/>
      <c r="Y652" s="1186"/>
      <c r="Z652" s="1186"/>
      <c r="AA652" s="1186">
        <v>98.9</v>
      </c>
      <c r="AB652" s="1186">
        <v>5.9</v>
      </c>
      <c r="AC652" s="1186">
        <v>89.9</v>
      </c>
      <c r="AD652" s="1187">
        <v>3.7</v>
      </c>
    </row>
    <row r="653" spans="1:30" x14ac:dyDescent="0.2">
      <c r="A653">
        <f t="shared" si="44"/>
        <v>17</v>
      </c>
      <c r="B653">
        <v>644</v>
      </c>
      <c r="C653" s="1202">
        <v>4</v>
      </c>
      <c r="D653" s="1201" t="s">
        <v>4606</v>
      </c>
      <c r="E653" s="1203" t="s">
        <v>4813</v>
      </c>
      <c r="F653" s="1188">
        <v>2</v>
      </c>
      <c r="G653" s="1189"/>
      <c r="H653" s="1189"/>
      <c r="I653" s="1189"/>
      <c r="J653" s="1189"/>
      <c r="K653" s="1189"/>
      <c r="L653" s="1189"/>
      <c r="M653" s="1189"/>
      <c r="N653" s="1189"/>
      <c r="O653" s="1189"/>
      <c r="P653" s="1189"/>
      <c r="Q653" s="1189"/>
      <c r="R653" s="1189"/>
      <c r="S653" s="1189"/>
      <c r="T653" s="1189"/>
      <c r="U653" s="1189"/>
      <c r="V653" s="1189"/>
      <c r="W653" s="1189"/>
      <c r="X653" s="1189"/>
      <c r="Y653" s="1189"/>
      <c r="Z653" s="1189"/>
      <c r="AA653" s="1189">
        <v>118.5</v>
      </c>
      <c r="AB653" s="1189">
        <v>5.9</v>
      </c>
      <c r="AC653" s="1189">
        <v>104.2</v>
      </c>
      <c r="AD653" s="1194">
        <v>3.7</v>
      </c>
    </row>
    <row r="654" spans="1:30" x14ac:dyDescent="0.2">
      <c r="A654">
        <f t="shared" si="44"/>
        <v>17</v>
      </c>
      <c r="B654">
        <v>645</v>
      </c>
      <c r="C654" s="1204">
        <v>4</v>
      </c>
      <c r="D654" s="1201" t="s">
        <v>4606</v>
      </c>
      <c r="E654" s="1205" t="s">
        <v>4814</v>
      </c>
      <c r="F654" s="1192">
        <v>2</v>
      </c>
      <c r="G654" s="1193"/>
      <c r="H654" s="1193"/>
      <c r="I654" s="1193"/>
      <c r="J654" s="1193"/>
      <c r="K654" s="1193"/>
      <c r="L654" s="1193"/>
      <c r="M654" s="1193"/>
      <c r="N654" s="1193"/>
      <c r="O654" s="1193"/>
      <c r="P654" s="1193"/>
      <c r="Q654" s="1193"/>
      <c r="R654" s="1193"/>
      <c r="S654" s="1193"/>
      <c r="T654" s="1193"/>
      <c r="U654" s="1193"/>
      <c r="V654" s="1193"/>
      <c r="W654" s="1193"/>
      <c r="X654" s="1193"/>
      <c r="Y654" s="1193"/>
      <c r="Z654" s="1193"/>
      <c r="AA654" s="1193">
        <v>180.1</v>
      </c>
      <c r="AB654" s="1193">
        <v>5.6</v>
      </c>
      <c r="AC654" s="1193">
        <v>165.9</v>
      </c>
      <c r="AD654" s="1195">
        <v>3.7</v>
      </c>
    </row>
    <row r="655" spans="1:30" x14ac:dyDescent="0.2">
      <c r="A655">
        <f t="shared" si="44"/>
        <v>18</v>
      </c>
      <c r="B655">
        <v>646</v>
      </c>
      <c r="C655" s="1200">
        <v>2</v>
      </c>
      <c r="D655" s="1201" t="s">
        <v>4900</v>
      </c>
      <c r="E655" s="1201" t="s">
        <v>4901</v>
      </c>
      <c r="F655" s="1185">
        <v>1</v>
      </c>
      <c r="G655" s="1186">
        <v>4.7</v>
      </c>
      <c r="H655" s="1186">
        <v>2.4</v>
      </c>
      <c r="I655" s="1186">
        <v>5.2</v>
      </c>
      <c r="J655" s="1186">
        <v>2.6</v>
      </c>
      <c r="K655" s="1186">
        <v>3.4</v>
      </c>
      <c r="L655" s="1186">
        <v>3.8</v>
      </c>
      <c r="M655" s="1186">
        <v>4.5</v>
      </c>
      <c r="N655" s="1186">
        <v>4.8</v>
      </c>
      <c r="O655" s="1186">
        <v>3.5</v>
      </c>
      <c r="P655" s="1186">
        <v>5.2</v>
      </c>
      <c r="Q655" s="1186">
        <v>4.0999999999999996</v>
      </c>
      <c r="R655" s="1186">
        <v>2</v>
      </c>
      <c r="S655" s="1186">
        <v>5.7</v>
      </c>
      <c r="T655" s="1186">
        <v>2.4</v>
      </c>
      <c r="U655" s="1186">
        <v>3.3</v>
      </c>
      <c r="V655" s="1186">
        <v>5</v>
      </c>
      <c r="W655" s="1186"/>
      <c r="X655" s="1186"/>
      <c r="Y655" s="1186"/>
      <c r="Z655" s="1186"/>
      <c r="AA655" s="1186"/>
      <c r="AB655" s="1186"/>
      <c r="AC655" s="1186"/>
      <c r="AD655" s="1187"/>
    </row>
    <row r="656" spans="1:30" x14ac:dyDescent="0.2">
      <c r="A656">
        <f t="shared" si="44"/>
        <v>18</v>
      </c>
      <c r="B656">
        <v>647</v>
      </c>
      <c r="C656" s="1200">
        <v>2</v>
      </c>
      <c r="D656" s="1201" t="s">
        <v>4900</v>
      </c>
      <c r="E656" s="1201" t="s">
        <v>4902</v>
      </c>
      <c r="F656" s="1185">
        <v>1</v>
      </c>
      <c r="G656" s="1186">
        <v>5.7</v>
      </c>
      <c r="H656" s="1186">
        <v>2.4</v>
      </c>
      <c r="I656" s="1186">
        <v>6.7</v>
      </c>
      <c r="J656" s="1186">
        <v>2.7</v>
      </c>
      <c r="K656" s="1186">
        <v>4.5999999999999996</v>
      </c>
      <c r="L656" s="1186">
        <v>3.8</v>
      </c>
      <c r="M656" s="1186">
        <v>5.7</v>
      </c>
      <c r="N656" s="1186">
        <v>4.7</v>
      </c>
      <c r="O656" s="1186">
        <v>4.8</v>
      </c>
      <c r="P656" s="1186">
        <v>5.0999999999999996</v>
      </c>
      <c r="Q656" s="1186">
        <v>5.5</v>
      </c>
      <c r="R656" s="1186">
        <v>2</v>
      </c>
      <c r="S656" s="1186">
        <v>7.4</v>
      </c>
      <c r="T656" s="1186">
        <v>2.2999999999999998</v>
      </c>
      <c r="U656" s="1186">
        <v>4.7</v>
      </c>
      <c r="V656" s="1186">
        <v>4.9000000000000004</v>
      </c>
      <c r="W656" s="1186"/>
      <c r="X656" s="1186"/>
      <c r="Y656" s="1186"/>
      <c r="Z656" s="1186"/>
      <c r="AA656" s="1186"/>
      <c r="AB656" s="1186"/>
      <c r="AC656" s="1186"/>
      <c r="AD656" s="1187"/>
    </row>
    <row r="657" spans="1:30" x14ac:dyDescent="0.2">
      <c r="A657">
        <f t="shared" si="44"/>
        <v>18</v>
      </c>
      <c r="B657">
        <v>648</v>
      </c>
      <c r="C657" s="1200">
        <v>2</v>
      </c>
      <c r="D657" s="1201" t="s">
        <v>4900</v>
      </c>
      <c r="E657" s="1201" t="s">
        <v>4903</v>
      </c>
      <c r="F657" s="1185">
        <v>1</v>
      </c>
      <c r="G657" s="1186">
        <v>7.9</v>
      </c>
      <c r="H657" s="1186">
        <v>2.2999999999999998</v>
      </c>
      <c r="I657" s="1186">
        <v>10.199999999999999</v>
      </c>
      <c r="J657" s="1186">
        <v>2.8</v>
      </c>
      <c r="K657" s="1186">
        <v>8.3000000000000007</v>
      </c>
      <c r="L657" s="1186">
        <v>3.9</v>
      </c>
      <c r="M657" s="1186">
        <v>9.8000000000000007</v>
      </c>
      <c r="N657" s="1186">
        <v>4.7</v>
      </c>
      <c r="O657" s="1186">
        <v>8.6999999999999993</v>
      </c>
      <c r="P657" s="1186">
        <v>5.3</v>
      </c>
      <c r="Q657" s="1186">
        <v>10.1</v>
      </c>
      <c r="R657" s="1186">
        <v>1.9</v>
      </c>
      <c r="S657" s="1186">
        <v>14.5</v>
      </c>
      <c r="T657" s="1186">
        <v>2.5</v>
      </c>
      <c r="U657" s="1186">
        <v>8.6999999999999993</v>
      </c>
      <c r="V657" s="1186">
        <v>5.2</v>
      </c>
      <c r="W657" s="1186"/>
      <c r="X657" s="1186"/>
      <c r="Y657" s="1186"/>
      <c r="Z657" s="1186"/>
      <c r="AA657" s="1186"/>
      <c r="AB657" s="1186"/>
      <c r="AC657" s="1186"/>
      <c r="AD657" s="1187"/>
    </row>
    <row r="658" spans="1:30" x14ac:dyDescent="0.2">
      <c r="A658">
        <f t="shared" si="44"/>
        <v>18</v>
      </c>
      <c r="B658">
        <v>649</v>
      </c>
      <c r="C658" s="1200">
        <v>2</v>
      </c>
      <c r="D658" s="1201" t="s">
        <v>4900</v>
      </c>
      <c r="E658" s="1201" t="s">
        <v>4904</v>
      </c>
      <c r="F658" s="1185">
        <v>1</v>
      </c>
      <c r="G658" s="1186">
        <v>10.3</v>
      </c>
      <c r="H658" s="1186">
        <v>2.1</v>
      </c>
      <c r="I658" s="1186">
        <v>11.9</v>
      </c>
      <c r="J658" s="1186">
        <v>2.5</v>
      </c>
      <c r="K658" s="1186">
        <v>8.3000000000000007</v>
      </c>
      <c r="L658" s="1186">
        <v>3.9</v>
      </c>
      <c r="M658" s="1186">
        <v>9.8000000000000007</v>
      </c>
      <c r="N658" s="1186">
        <v>4.7</v>
      </c>
      <c r="O658" s="1186">
        <v>8.6999999999999993</v>
      </c>
      <c r="P658" s="1186">
        <v>5.3</v>
      </c>
      <c r="Q658" s="1186">
        <v>10.1</v>
      </c>
      <c r="R658" s="1186">
        <v>1.9</v>
      </c>
      <c r="S658" s="1186">
        <v>14.5</v>
      </c>
      <c r="T658" s="1186">
        <v>2.5</v>
      </c>
      <c r="U658" s="1186">
        <v>8.6999999999999993</v>
      </c>
      <c r="V658" s="1186">
        <v>5.2</v>
      </c>
      <c r="W658" s="1186"/>
      <c r="X658" s="1186"/>
      <c r="Y658" s="1186"/>
      <c r="Z658" s="1186"/>
      <c r="AA658" s="1186"/>
      <c r="AB658" s="1186"/>
      <c r="AC658" s="1186"/>
      <c r="AD658" s="1187"/>
    </row>
    <row r="659" spans="1:30" x14ac:dyDescent="0.2">
      <c r="A659">
        <f t="shared" si="44"/>
        <v>18</v>
      </c>
      <c r="B659">
        <v>650</v>
      </c>
      <c r="C659" s="1200">
        <v>2</v>
      </c>
      <c r="D659" s="1201" t="s">
        <v>4900</v>
      </c>
      <c r="E659" s="1201" t="s">
        <v>4905</v>
      </c>
      <c r="F659" s="1185">
        <v>1</v>
      </c>
      <c r="G659" s="1186">
        <v>7.9</v>
      </c>
      <c r="H659" s="1186">
        <v>2.2999999999999998</v>
      </c>
      <c r="I659" s="1186">
        <v>10.199999999999999</v>
      </c>
      <c r="J659" s="1186">
        <v>2.8</v>
      </c>
      <c r="K659" s="1186">
        <v>8.3000000000000007</v>
      </c>
      <c r="L659" s="1186">
        <v>3.7</v>
      </c>
      <c r="M659" s="1186">
        <v>10.3</v>
      </c>
      <c r="N659" s="1186">
        <v>4.5999999999999996</v>
      </c>
      <c r="O659" s="1186">
        <v>11</v>
      </c>
      <c r="P659" s="1186">
        <v>5.0999999999999996</v>
      </c>
      <c r="Q659" s="1186">
        <v>10.4</v>
      </c>
      <c r="R659" s="1186">
        <v>1.9</v>
      </c>
      <c r="S659" s="1186">
        <v>15.4</v>
      </c>
      <c r="T659" s="1186">
        <v>2.4</v>
      </c>
      <c r="U659" s="1186">
        <v>10</v>
      </c>
      <c r="V659" s="1186">
        <v>5.0999999999999996</v>
      </c>
      <c r="W659" s="1186"/>
      <c r="X659" s="1186"/>
      <c r="Y659" s="1186"/>
      <c r="Z659" s="1186"/>
      <c r="AA659" s="1186"/>
      <c r="AB659" s="1186"/>
      <c r="AC659" s="1186"/>
      <c r="AD659" s="1187"/>
    </row>
    <row r="660" spans="1:30" x14ac:dyDescent="0.2">
      <c r="A660">
        <f t="shared" si="44"/>
        <v>18</v>
      </c>
      <c r="B660">
        <v>651</v>
      </c>
      <c r="C660" s="1200">
        <v>2</v>
      </c>
      <c r="D660" s="1201" t="s">
        <v>4900</v>
      </c>
      <c r="E660" s="1201" t="s">
        <v>4906</v>
      </c>
      <c r="F660" s="1185">
        <v>1</v>
      </c>
      <c r="G660" s="1186">
        <v>10.3</v>
      </c>
      <c r="H660" s="1186">
        <v>2.1</v>
      </c>
      <c r="I660" s="1186">
        <v>11.9</v>
      </c>
      <c r="J660" s="1186">
        <v>2.5</v>
      </c>
      <c r="K660" s="1186">
        <v>8.3000000000000007</v>
      </c>
      <c r="L660" s="1186">
        <v>3.7</v>
      </c>
      <c r="M660" s="1186">
        <v>10.3</v>
      </c>
      <c r="N660" s="1186">
        <v>4.5999999999999996</v>
      </c>
      <c r="O660" s="1186">
        <v>11</v>
      </c>
      <c r="P660" s="1186">
        <v>5.0999999999999996</v>
      </c>
      <c r="Q660" s="1186">
        <v>10.4</v>
      </c>
      <c r="R660" s="1186">
        <v>1.9</v>
      </c>
      <c r="S660" s="1186">
        <v>15.4</v>
      </c>
      <c r="T660" s="1186">
        <v>2.4</v>
      </c>
      <c r="U660" s="1186">
        <v>10</v>
      </c>
      <c r="V660" s="1186">
        <v>5.0999999999999996</v>
      </c>
      <c r="W660" s="1186"/>
      <c r="X660" s="1186"/>
      <c r="Y660" s="1186"/>
      <c r="Z660" s="1186"/>
      <c r="AA660" s="1186"/>
      <c r="AB660" s="1186"/>
      <c r="AC660" s="1186"/>
      <c r="AD660" s="1187"/>
    </row>
    <row r="661" spans="1:30" x14ac:dyDescent="0.2">
      <c r="A661">
        <f t="shared" si="44"/>
        <v>18</v>
      </c>
      <c r="B661">
        <v>652</v>
      </c>
      <c r="C661" s="1200">
        <v>2</v>
      </c>
      <c r="D661" s="1201" t="s">
        <v>4900</v>
      </c>
      <c r="E661" s="1201" t="s">
        <v>4907</v>
      </c>
      <c r="F661" s="1185">
        <v>1</v>
      </c>
      <c r="G661" s="1186">
        <v>3.1</v>
      </c>
      <c r="H661" s="1186">
        <v>2.2999999999999998</v>
      </c>
      <c r="I661" s="1186">
        <v>4.0999999999999996</v>
      </c>
      <c r="J661" s="1186">
        <v>3</v>
      </c>
      <c r="K661" s="1186">
        <v>5.5</v>
      </c>
      <c r="L661" s="1186">
        <v>3.9</v>
      </c>
      <c r="M661" s="1186">
        <v>6.3</v>
      </c>
      <c r="N661" s="1186">
        <v>4.5</v>
      </c>
      <c r="O661" s="1186">
        <v>2.5</v>
      </c>
      <c r="P661" s="1186">
        <v>5.3</v>
      </c>
      <c r="Q661" s="1186">
        <v>3.8</v>
      </c>
      <c r="R661" s="1186">
        <v>2</v>
      </c>
      <c r="S661" s="1186">
        <v>5.7</v>
      </c>
      <c r="T661" s="1186">
        <v>2.9</v>
      </c>
      <c r="U661" s="1186">
        <v>2.6</v>
      </c>
      <c r="V661" s="1186">
        <v>5</v>
      </c>
      <c r="W661" s="1186"/>
      <c r="X661" s="1186"/>
      <c r="Y661" s="1186"/>
      <c r="Z661" s="1186"/>
      <c r="AA661" s="1186"/>
      <c r="AB661" s="1186"/>
      <c r="AC661" s="1186"/>
      <c r="AD661" s="1187"/>
    </row>
    <row r="662" spans="1:30" x14ac:dyDescent="0.2">
      <c r="A662">
        <f t="shared" si="44"/>
        <v>18</v>
      </c>
      <c r="B662">
        <v>653</v>
      </c>
      <c r="C662" s="1200">
        <v>2</v>
      </c>
      <c r="D662" s="1201" t="s">
        <v>4900</v>
      </c>
      <c r="E662" s="1201" t="s">
        <v>4908</v>
      </c>
      <c r="F662" s="1185">
        <v>1</v>
      </c>
      <c r="G662" s="1186">
        <v>4.7</v>
      </c>
      <c r="H662" s="1186">
        <v>2.2999999999999998</v>
      </c>
      <c r="I662" s="1186">
        <v>5.9</v>
      </c>
      <c r="J662" s="1186">
        <v>2.7</v>
      </c>
      <c r="K662" s="1186">
        <v>6.9</v>
      </c>
      <c r="L662" s="1186">
        <v>3.1</v>
      </c>
      <c r="M662" s="1186">
        <v>8.1</v>
      </c>
      <c r="N662" s="1186">
        <v>3.5</v>
      </c>
      <c r="O662" s="1186">
        <v>3.5</v>
      </c>
      <c r="P662" s="1186">
        <v>5.2</v>
      </c>
      <c r="Q662" s="1186">
        <v>5.0999999999999996</v>
      </c>
      <c r="R662" s="1186">
        <v>2</v>
      </c>
      <c r="S662" s="1186">
        <v>6.9</v>
      </c>
      <c r="T662" s="1186">
        <v>2.6</v>
      </c>
      <c r="U662" s="1186">
        <v>3.3</v>
      </c>
      <c r="V662" s="1186">
        <v>5</v>
      </c>
      <c r="W662" s="1186"/>
      <c r="X662" s="1186"/>
      <c r="Y662" s="1186"/>
      <c r="Z662" s="1186"/>
      <c r="AA662" s="1186"/>
      <c r="AB662" s="1186"/>
      <c r="AC662" s="1186"/>
      <c r="AD662" s="1187"/>
    </row>
    <row r="663" spans="1:30" x14ac:dyDescent="0.2">
      <c r="A663">
        <f t="shared" si="44"/>
        <v>18</v>
      </c>
      <c r="B663">
        <v>654</v>
      </c>
      <c r="C663" s="1200">
        <v>2</v>
      </c>
      <c r="D663" s="1201" t="s">
        <v>4900</v>
      </c>
      <c r="E663" s="1201" t="s">
        <v>4909</v>
      </c>
      <c r="F663" s="1185">
        <v>1</v>
      </c>
      <c r="G663" s="1186">
        <v>6.6</v>
      </c>
      <c r="H663" s="1186">
        <v>2.2999999999999998</v>
      </c>
      <c r="I663" s="1186">
        <v>8.1999999999999993</v>
      </c>
      <c r="J663" s="1186">
        <v>2.8</v>
      </c>
      <c r="K663" s="1186">
        <v>9.8000000000000007</v>
      </c>
      <c r="L663" s="1186">
        <v>3.3</v>
      </c>
      <c r="M663" s="1186">
        <v>10.9</v>
      </c>
      <c r="N663" s="1186">
        <v>3.7</v>
      </c>
      <c r="O663" s="1186">
        <v>4.8</v>
      </c>
      <c r="P663" s="1186">
        <v>5.0999999999999996</v>
      </c>
      <c r="Q663" s="1186">
        <v>7.1</v>
      </c>
      <c r="R663" s="1186">
        <v>2.1</v>
      </c>
      <c r="S663" s="1186">
        <v>9.4</v>
      </c>
      <c r="T663" s="1186">
        <v>2.7</v>
      </c>
      <c r="U663" s="1186">
        <v>4.7</v>
      </c>
      <c r="V663" s="1186">
        <v>4.9000000000000004</v>
      </c>
      <c r="W663" s="1186"/>
      <c r="X663" s="1186"/>
      <c r="Y663" s="1186"/>
      <c r="Z663" s="1186"/>
      <c r="AA663" s="1186"/>
      <c r="AB663" s="1186"/>
      <c r="AC663" s="1186"/>
      <c r="AD663" s="1187"/>
    </row>
    <row r="664" spans="1:30" x14ac:dyDescent="0.2">
      <c r="A664">
        <f t="shared" si="44"/>
        <v>18</v>
      </c>
      <c r="B664">
        <v>655</v>
      </c>
      <c r="C664" s="1200">
        <v>2</v>
      </c>
      <c r="D664" s="1201" t="s">
        <v>4900</v>
      </c>
      <c r="E664" s="1201" t="s">
        <v>4910</v>
      </c>
      <c r="F664" s="1185">
        <v>1</v>
      </c>
      <c r="G664" s="1186">
        <v>8.1</v>
      </c>
      <c r="H664" s="1186">
        <v>2.2999999999999998</v>
      </c>
      <c r="I664" s="1186">
        <v>10.6</v>
      </c>
      <c r="J664" s="1186">
        <v>3</v>
      </c>
      <c r="K664" s="1186">
        <v>13.8</v>
      </c>
      <c r="L664" s="1186">
        <v>3.9</v>
      </c>
      <c r="M664" s="1186">
        <v>15.6</v>
      </c>
      <c r="N664" s="1186">
        <v>4.4000000000000004</v>
      </c>
      <c r="O664" s="1186">
        <v>8.6999999999999993</v>
      </c>
      <c r="P664" s="1186">
        <v>5.3</v>
      </c>
      <c r="Q664" s="1186">
        <v>10.1</v>
      </c>
      <c r="R664" s="1186">
        <v>2</v>
      </c>
      <c r="S664" s="1186">
        <v>14.5</v>
      </c>
      <c r="T664" s="1186">
        <v>2.9</v>
      </c>
      <c r="U664" s="1186">
        <v>8.6999999999999993</v>
      </c>
      <c r="V664" s="1186">
        <v>5.2</v>
      </c>
      <c r="W664" s="1186"/>
      <c r="X664" s="1186"/>
      <c r="Y664" s="1186"/>
      <c r="Z664" s="1186"/>
      <c r="AA664" s="1186"/>
      <c r="AB664" s="1186"/>
      <c r="AC664" s="1186"/>
      <c r="AD664" s="1187"/>
    </row>
    <row r="665" spans="1:30" x14ac:dyDescent="0.2">
      <c r="A665">
        <f t="shared" si="44"/>
        <v>18</v>
      </c>
      <c r="B665">
        <v>656</v>
      </c>
      <c r="C665" s="1200">
        <v>2</v>
      </c>
      <c r="D665" s="1201" t="s">
        <v>4900</v>
      </c>
      <c r="E665" s="1201" t="s">
        <v>4911</v>
      </c>
      <c r="F665" s="1185">
        <v>1</v>
      </c>
      <c r="G665" s="1186">
        <v>9.6999999999999993</v>
      </c>
      <c r="H665" s="1186">
        <v>2</v>
      </c>
      <c r="I665" s="1186">
        <v>12.7</v>
      </c>
      <c r="J665" s="1186">
        <v>2.6</v>
      </c>
      <c r="K665" s="1186">
        <v>16.7</v>
      </c>
      <c r="L665" s="1186">
        <v>3.4</v>
      </c>
      <c r="M665" s="1186">
        <v>18.7</v>
      </c>
      <c r="N665" s="1186">
        <v>4.4000000000000004</v>
      </c>
      <c r="O665" s="1186">
        <v>8.6999999999999993</v>
      </c>
      <c r="P665" s="1186">
        <v>5.3</v>
      </c>
      <c r="Q665" s="1186">
        <v>10.1</v>
      </c>
      <c r="R665" s="1186">
        <v>2</v>
      </c>
      <c r="S665" s="1186">
        <v>14.5</v>
      </c>
      <c r="T665" s="1186">
        <v>2.9</v>
      </c>
      <c r="U665" s="1186">
        <v>8.6999999999999993</v>
      </c>
      <c r="V665" s="1186">
        <v>5.2</v>
      </c>
      <c r="W665" s="1186"/>
      <c r="X665" s="1186"/>
      <c r="Y665" s="1186"/>
      <c r="Z665" s="1186"/>
      <c r="AA665" s="1186"/>
      <c r="AB665" s="1186"/>
      <c r="AC665" s="1186"/>
      <c r="AD665" s="1187"/>
    </row>
    <row r="666" spans="1:30" x14ac:dyDescent="0.2">
      <c r="A666">
        <f t="shared" si="44"/>
        <v>18</v>
      </c>
      <c r="B666">
        <v>657</v>
      </c>
      <c r="C666" s="1200">
        <v>2</v>
      </c>
      <c r="D666" s="1201" t="s">
        <v>4900</v>
      </c>
      <c r="E666" s="1201" t="s">
        <v>4912</v>
      </c>
      <c r="F666" s="1185">
        <v>1</v>
      </c>
      <c r="G666" s="1186">
        <v>8.1</v>
      </c>
      <c r="H666" s="1186">
        <v>2.2999999999999998</v>
      </c>
      <c r="I666" s="1186">
        <v>10.6</v>
      </c>
      <c r="J666" s="1186">
        <v>3</v>
      </c>
      <c r="K666" s="1186">
        <v>13.8</v>
      </c>
      <c r="L666" s="1186">
        <v>3.9</v>
      </c>
      <c r="M666" s="1186">
        <v>15.6</v>
      </c>
      <c r="N666" s="1186">
        <v>3.8</v>
      </c>
      <c r="O666" s="1186">
        <v>11</v>
      </c>
      <c r="P666" s="1186">
        <v>5.2</v>
      </c>
      <c r="Q666" s="1186">
        <v>12.6</v>
      </c>
      <c r="R666" s="1186">
        <v>2</v>
      </c>
      <c r="S666" s="1186">
        <v>17.100000000000001</v>
      </c>
      <c r="T666" s="1186">
        <v>2.8</v>
      </c>
      <c r="U666" s="1186">
        <v>10</v>
      </c>
      <c r="V666" s="1186">
        <v>5.0999999999999996</v>
      </c>
      <c r="W666" s="1186"/>
      <c r="X666" s="1186"/>
      <c r="Y666" s="1186"/>
      <c r="Z666" s="1186"/>
      <c r="AA666" s="1186"/>
      <c r="AB666" s="1186"/>
      <c r="AC666" s="1186"/>
      <c r="AD666" s="1187"/>
    </row>
    <row r="667" spans="1:30" x14ac:dyDescent="0.2">
      <c r="A667">
        <f t="shared" si="44"/>
        <v>18</v>
      </c>
      <c r="B667">
        <v>658</v>
      </c>
      <c r="C667" s="1200">
        <v>2</v>
      </c>
      <c r="D667" s="1201" t="s">
        <v>4900</v>
      </c>
      <c r="E667" s="1201" t="s">
        <v>4913</v>
      </c>
      <c r="F667" s="1185">
        <v>1</v>
      </c>
      <c r="G667" s="1186">
        <v>9.6999999999999993</v>
      </c>
      <c r="H667" s="1186">
        <v>2</v>
      </c>
      <c r="I667" s="1186">
        <v>12.7</v>
      </c>
      <c r="J667" s="1186">
        <v>2.6</v>
      </c>
      <c r="K667" s="1186">
        <v>16.7</v>
      </c>
      <c r="L667" s="1186">
        <v>3.4</v>
      </c>
      <c r="M667" s="1186">
        <v>18.7</v>
      </c>
      <c r="N667" s="1186">
        <v>3.8</v>
      </c>
      <c r="O667" s="1186">
        <v>11</v>
      </c>
      <c r="P667" s="1186">
        <v>5.2</v>
      </c>
      <c r="Q667" s="1186">
        <v>12.6</v>
      </c>
      <c r="R667" s="1186">
        <v>2</v>
      </c>
      <c r="S667" s="1186">
        <v>17.100000000000001</v>
      </c>
      <c r="T667" s="1186">
        <v>2.8</v>
      </c>
      <c r="U667" s="1186">
        <v>10</v>
      </c>
      <c r="V667" s="1186">
        <v>5.0999999999999996</v>
      </c>
      <c r="W667" s="1186"/>
      <c r="X667" s="1186"/>
      <c r="Y667" s="1186"/>
      <c r="Z667" s="1186"/>
      <c r="AA667" s="1186"/>
      <c r="AB667" s="1186"/>
      <c r="AC667" s="1186"/>
      <c r="AD667" s="1187"/>
    </row>
    <row r="668" spans="1:30" x14ac:dyDescent="0.2">
      <c r="A668">
        <f t="shared" si="44"/>
        <v>19</v>
      </c>
      <c r="B668">
        <v>659</v>
      </c>
      <c r="C668" s="1200">
        <v>2</v>
      </c>
      <c r="D668" s="1201" t="s">
        <v>5061</v>
      </c>
      <c r="E668" s="1201" t="s">
        <v>5062</v>
      </c>
      <c r="F668" s="1185">
        <v>1</v>
      </c>
      <c r="G668" s="1186">
        <v>5.84</v>
      </c>
      <c r="H668" s="1186">
        <v>2.8</v>
      </c>
      <c r="I668" s="1186">
        <v>7.05</v>
      </c>
      <c r="J668" s="1186">
        <v>3.11</v>
      </c>
      <c r="K668" s="1186">
        <v>8.83</v>
      </c>
      <c r="L668" s="1186">
        <v>4.18</v>
      </c>
      <c r="M668" s="1186">
        <v>10</v>
      </c>
      <c r="N668" s="1186">
        <v>4.49</v>
      </c>
      <c r="O668" s="1186"/>
      <c r="P668" s="1186"/>
      <c r="Q668" s="1186"/>
      <c r="R668" s="1186"/>
      <c r="S668" s="1186"/>
      <c r="T668" s="1186"/>
      <c r="U668" s="1186"/>
      <c r="V668" s="1186"/>
      <c r="W668" s="1186"/>
      <c r="X668" s="1186"/>
      <c r="Y668" s="1186"/>
      <c r="Z668" s="1186"/>
      <c r="AA668" s="1186"/>
      <c r="AB668" s="1186"/>
      <c r="AC668" s="1186"/>
      <c r="AD668" s="1187"/>
    </row>
    <row r="669" spans="1:30" x14ac:dyDescent="0.2">
      <c r="A669">
        <f t="shared" si="44"/>
        <v>19</v>
      </c>
      <c r="B669">
        <v>660</v>
      </c>
      <c r="C669" s="1200">
        <v>2</v>
      </c>
      <c r="D669" s="1201" t="s">
        <v>5061</v>
      </c>
      <c r="E669" s="1201" t="s">
        <v>5063</v>
      </c>
      <c r="F669" s="1185">
        <v>1</v>
      </c>
      <c r="G669" s="1186">
        <v>9.3000000000000007</v>
      </c>
      <c r="H669" s="1186">
        <v>2.38</v>
      </c>
      <c r="I669" s="1186">
        <v>10</v>
      </c>
      <c r="J669" s="1186">
        <v>2.98</v>
      </c>
      <c r="K669" s="1186">
        <v>10</v>
      </c>
      <c r="L669" s="1186">
        <v>4.03</v>
      </c>
      <c r="M669" s="1186">
        <v>10</v>
      </c>
      <c r="N669" s="1186">
        <v>4.49</v>
      </c>
      <c r="O669" s="1186"/>
      <c r="P669" s="1186"/>
      <c r="Q669" s="1186"/>
      <c r="R669" s="1186"/>
      <c r="S669" s="1186"/>
      <c r="T669" s="1186"/>
      <c r="U669" s="1186"/>
      <c r="V669" s="1186"/>
      <c r="W669" s="1186"/>
      <c r="X669" s="1186"/>
      <c r="Y669" s="1186"/>
      <c r="Z669" s="1186"/>
      <c r="AA669" s="1186"/>
      <c r="AB669" s="1186"/>
      <c r="AC669" s="1186"/>
      <c r="AD669" s="1187"/>
    </row>
    <row r="670" spans="1:30" x14ac:dyDescent="0.2">
      <c r="A670">
        <f t="shared" si="44"/>
        <v>19</v>
      </c>
      <c r="B670">
        <v>661</v>
      </c>
      <c r="C670" s="1200">
        <v>2</v>
      </c>
      <c r="D670" s="1201" t="s">
        <v>5061</v>
      </c>
      <c r="E670" s="1201" t="s">
        <v>5064</v>
      </c>
      <c r="F670" s="1185">
        <v>1</v>
      </c>
      <c r="G670" s="1186">
        <v>6.6</v>
      </c>
      <c r="H670" s="1186">
        <v>2.64</v>
      </c>
      <c r="I670" s="1186">
        <v>8.0500000000000007</v>
      </c>
      <c r="J670" s="1186">
        <v>3.12</v>
      </c>
      <c r="K670" s="1186">
        <v>10.1</v>
      </c>
      <c r="L670" s="1186">
        <v>4</v>
      </c>
      <c r="M670" s="1186">
        <v>12.48</v>
      </c>
      <c r="N670" s="1186">
        <v>4.29</v>
      </c>
      <c r="O670" s="1186"/>
      <c r="P670" s="1186"/>
      <c r="Q670" s="1186"/>
      <c r="R670" s="1186"/>
      <c r="S670" s="1186"/>
      <c r="T670" s="1186"/>
      <c r="U670" s="1186"/>
      <c r="V670" s="1186"/>
      <c r="W670" s="1186"/>
      <c r="X670" s="1186"/>
      <c r="Y670" s="1186"/>
      <c r="Z670" s="1186"/>
      <c r="AA670" s="1186"/>
      <c r="AB670" s="1186"/>
      <c r="AC670" s="1186"/>
      <c r="AD670" s="1187"/>
    </row>
    <row r="671" spans="1:30" x14ac:dyDescent="0.2">
      <c r="A671">
        <f t="shared" si="44"/>
        <v>19</v>
      </c>
      <c r="B671">
        <v>662</v>
      </c>
      <c r="C671" s="1200">
        <v>2</v>
      </c>
      <c r="D671" s="1201" t="s">
        <v>5061</v>
      </c>
      <c r="E671" s="1201" t="s">
        <v>5065</v>
      </c>
      <c r="F671" s="1185">
        <v>1</v>
      </c>
      <c r="G671" s="1186">
        <v>12</v>
      </c>
      <c r="H671" s="1186">
        <v>2.42</v>
      </c>
      <c r="I671" s="1186">
        <v>12</v>
      </c>
      <c r="J671" s="1186">
        <v>3.2</v>
      </c>
      <c r="K671" s="1186">
        <v>12</v>
      </c>
      <c r="L671" s="1186">
        <v>4.25</v>
      </c>
      <c r="M671" s="1186">
        <v>12</v>
      </c>
      <c r="N671" s="1186">
        <v>4.46</v>
      </c>
      <c r="O671" s="1186"/>
      <c r="P671" s="1186"/>
      <c r="Q671" s="1186"/>
      <c r="R671" s="1186"/>
      <c r="S671" s="1186"/>
      <c r="T671" s="1186"/>
      <c r="U671" s="1186"/>
      <c r="V671" s="1186"/>
      <c r="W671" s="1186"/>
      <c r="X671" s="1186"/>
      <c r="Y671" s="1186"/>
      <c r="Z671" s="1186"/>
      <c r="AA671" s="1186"/>
      <c r="AB671" s="1186"/>
      <c r="AC671" s="1186"/>
      <c r="AD671" s="1187"/>
    </row>
    <row r="672" spans="1:30" x14ac:dyDescent="0.2">
      <c r="A672">
        <f t="shared" si="44"/>
        <v>19</v>
      </c>
      <c r="B672">
        <v>663</v>
      </c>
      <c r="C672" s="1200">
        <v>2</v>
      </c>
      <c r="D672" s="1201" t="s">
        <v>5061</v>
      </c>
      <c r="E672" s="1201" t="s">
        <v>5066</v>
      </c>
      <c r="F672" s="1185">
        <v>1</v>
      </c>
      <c r="G672" s="1186">
        <v>9.07</v>
      </c>
      <c r="H672" s="1186">
        <v>2.81</v>
      </c>
      <c r="I672" s="1186">
        <v>11</v>
      </c>
      <c r="J672" s="1186">
        <v>3.12</v>
      </c>
      <c r="K672" s="1186">
        <v>13.7</v>
      </c>
      <c r="L672" s="1186">
        <v>4.1900000000000004</v>
      </c>
      <c r="M672" s="1186">
        <v>16.600000000000001</v>
      </c>
      <c r="N672" s="1186">
        <v>4.38</v>
      </c>
      <c r="O672" s="1186"/>
      <c r="P672" s="1186"/>
      <c r="Q672" s="1186"/>
      <c r="R672" s="1186"/>
      <c r="S672" s="1186"/>
      <c r="T672" s="1186"/>
      <c r="U672" s="1186"/>
      <c r="V672" s="1186"/>
      <c r="W672" s="1186"/>
      <c r="X672" s="1186"/>
      <c r="Y672" s="1186"/>
      <c r="Z672" s="1186"/>
      <c r="AA672" s="1186"/>
      <c r="AB672" s="1186"/>
      <c r="AC672" s="1186"/>
      <c r="AD672" s="1187"/>
    </row>
    <row r="673" spans="1:30" x14ac:dyDescent="0.2">
      <c r="A673">
        <f t="shared" si="44"/>
        <v>19</v>
      </c>
      <c r="B673">
        <v>664</v>
      </c>
      <c r="C673" s="1200">
        <v>2</v>
      </c>
      <c r="D673" s="1201" t="s">
        <v>5061</v>
      </c>
      <c r="E673" s="1201" t="s">
        <v>5067</v>
      </c>
      <c r="F673" s="1185">
        <v>1</v>
      </c>
      <c r="G673" s="1186">
        <v>13.8</v>
      </c>
      <c r="H673" s="1186">
        <v>2.65</v>
      </c>
      <c r="I673" s="1186">
        <v>15</v>
      </c>
      <c r="J673" s="1186">
        <v>2.98</v>
      </c>
      <c r="K673" s="1186">
        <v>15</v>
      </c>
      <c r="L673" s="1186">
        <v>4.05</v>
      </c>
      <c r="M673" s="1186">
        <v>15</v>
      </c>
      <c r="N673" s="1186">
        <v>4.93</v>
      </c>
      <c r="O673" s="1186"/>
      <c r="P673" s="1186"/>
      <c r="Q673" s="1186"/>
      <c r="R673" s="1186"/>
      <c r="S673" s="1186"/>
      <c r="T673" s="1186"/>
      <c r="U673" s="1186"/>
      <c r="V673" s="1186"/>
      <c r="W673" s="1186"/>
      <c r="X673" s="1186"/>
      <c r="Y673" s="1186"/>
      <c r="Z673" s="1186"/>
      <c r="AA673" s="1186"/>
      <c r="AB673" s="1186"/>
      <c r="AC673" s="1186"/>
      <c r="AD673" s="1187"/>
    </row>
    <row r="674" spans="1:30" x14ac:dyDescent="0.2">
      <c r="A674">
        <f t="shared" si="44"/>
        <v>19</v>
      </c>
      <c r="B674">
        <v>665</v>
      </c>
      <c r="C674" s="1200">
        <v>2</v>
      </c>
      <c r="D674" s="1201" t="s">
        <v>5061</v>
      </c>
      <c r="E674" s="1201" t="s">
        <v>5068</v>
      </c>
      <c r="F674" s="1185">
        <v>1</v>
      </c>
      <c r="G674" s="1186">
        <v>12.4</v>
      </c>
      <c r="H674" s="1186">
        <v>2.42</v>
      </c>
      <c r="I674" s="1186">
        <v>14.6</v>
      </c>
      <c r="J674" s="1186">
        <v>2.85</v>
      </c>
      <c r="K674" s="1186">
        <v>17.5</v>
      </c>
      <c r="L674" s="1186">
        <v>3.6</v>
      </c>
      <c r="M674" s="1186">
        <v>20.2</v>
      </c>
      <c r="N674" s="1186">
        <v>4.05</v>
      </c>
      <c r="O674" s="1186"/>
      <c r="P674" s="1186"/>
      <c r="Q674" s="1186"/>
      <c r="R674" s="1186"/>
      <c r="S674" s="1186"/>
      <c r="T674" s="1186"/>
      <c r="U674" s="1186"/>
      <c r="V674" s="1186"/>
      <c r="W674" s="1186"/>
      <c r="X674" s="1186"/>
      <c r="Y674" s="1186"/>
      <c r="Z674" s="1186"/>
      <c r="AA674" s="1186"/>
      <c r="AB674" s="1186"/>
      <c r="AC674" s="1186"/>
      <c r="AD674" s="1187"/>
    </row>
    <row r="675" spans="1:30" x14ac:dyDescent="0.2">
      <c r="A675">
        <f t="shared" si="44"/>
        <v>19</v>
      </c>
      <c r="B675">
        <v>666</v>
      </c>
      <c r="C675" s="1200">
        <v>2</v>
      </c>
      <c r="D675" s="1201" t="s">
        <v>5061</v>
      </c>
      <c r="E675" s="1201" t="s">
        <v>5069</v>
      </c>
      <c r="F675" s="1185">
        <v>1</v>
      </c>
      <c r="G675" s="1186">
        <v>16</v>
      </c>
      <c r="H675" s="1186">
        <v>2.35</v>
      </c>
      <c r="I675" s="1186">
        <v>18</v>
      </c>
      <c r="J675" s="1186">
        <v>2.75</v>
      </c>
      <c r="K675" s="1186">
        <v>18</v>
      </c>
      <c r="L675" s="1186">
        <v>3.55</v>
      </c>
      <c r="M675" s="1186">
        <v>18</v>
      </c>
      <c r="N675" s="1186">
        <v>4.57</v>
      </c>
      <c r="O675" s="1186"/>
      <c r="P675" s="1186"/>
      <c r="Q675" s="1186"/>
      <c r="R675" s="1186"/>
      <c r="S675" s="1186"/>
      <c r="T675" s="1186"/>
      <c r="U675" s="1186"/>
      <c r="V675" s="1186"/>
      <c r="W675" s="1186"/>
      <c r="X675" s="1186"/>
      <c r="Y675" s="1186"/>
      <c r="Z675" s="1186"/>
      <c r="AA675" s="1186"/>
      <c r="AB675" s="1186"/>
      <c r="AC675" s="1186"/>
      <c r="AD675" s="1187"/>
    </row>
    <row r="676" spans="1:30" x14ac:dyDescent="0.2">
      <c r="A676">
        <f t="shared" si="44"/>
        <v>19</v>
      </c>
      <c r="B676">
        <v>667</v>
      </c>
      <c r="C676" s="1200">
        <v>2</v>
      </c>
      <c r="D676" s="1201" t="s">
        <v>5061</v>
      </c>
      <c r="E676" s="1201" t="s">
        <v>5070</v>
      </c>
      <c r="F676" s="1185">
        <v>1</v>
      </c>
      <c r="G676" s="1186">
        <v>17.5</v>
      </c>
      <c r="H676" s="1186">
        <v>2.68</v>
      </c>
      <c r="I676" s="1186">
        <v>20.100000000000001</v>
      </c>
      <c r="J676" s="1186">
        <v>3.25</v>
      </c>
      <c r="K676" s="1186">
        <v>20.100000000000001</v>
      </c>
      <c r="L676" s="1186">
        <v>3.85</v>
      </c>
      <c r="M676" s="1186">
        <v>25.5</v>
      </c>
      <c r="N676" s="1186">
        <v>4.3099999999999996</v>
      </c>
      <c r="O676" s="1186"/>
      <c r="P676" s="1186"/>
      <c r="Q676" s="1186"/>
      <c r="R676" s="1186"/>
      <c r="S676" s="1186"/>
      <c r="T676" s="1186"/>
      <c r="U676" s="1186"/>
      <c r="V676" s="1186"/>
      <c r="W676" s="1186"/>
      <c r="X676" s="1186"/>
      <c r="Y676" s="1186"/>
      <c r="Z676" s="1186"/>
      <c r="AA676" s="1186"/>
      <c r="AB676" s="1186"/>
      <c r="AC676" s="1186"/>
      <c r="AD676" s="1187"/>
    </row>
    <row r="677" spans="1:30" x14ac:dyDescent="0.2">
      <c r="A677">
        <f t="shared" si="44"/>
        <v>19</v>
      </c>
      <c r="B677">
        <v>668</v>
      </c>
      <c r="C677" s="1200">
        <v>2</v>
      </c>
      <c r="D677" s="1201" t="s">
        <v>5061</v>
      </c>
      <c r="E677" s="1201" t="s">
        <v>5071</v>
      </c>
      <c r="F677" s="1185">
        <v>1</v>
      </c>
      <c r="G677" s="1186">
        <v>19.25</v>
      </c>
      <c r="H677" s="1186">
        <v>2.42</v>
      </c>
      <c r="I677" s="1186">
        <v>21.29</v>
      </c>
      <c r="J677" s="1186">
        <v>2.89</v>
      </c>
      <c r="K677" s="1186">
        <v>29.88</v>
      </c>
      <c r="L677" s="1186">
        <v>3.56</v>
      </c>
      <c r="M677" s="1186">
        <v>31.9</v>
      </c>
      <c r="N677" s="1186">
        <v>4.1399999999999997</v>
      </c>
      <c r="O677" s="1186"/>
      <c r="P677" s="1186"/>
      <c r="Q677" s="1186"/>
      <c r="R677" s="1186"/>
      <c r="S677" s="1186"/>
      <c r="T677" s="1186"/>
      <c r="U677" s="1186"/>
      <c r="V677" s="1186"/>
      <c r="W677" s="1186"/>
      <c r="X677" s="1186"/>
      <c r="Y677" s="1186"/>
      <c r="Z677" s="1186"/>
      <c r="AA677" s="1186"/>
      <c r="AB677" s="1186"/>
      <c r="AC677" s="1186"/>
      <c r="AD677" s="1187"/>
    </row>
    <row r="678" spans="1:30" x14ac:dyDescent="0.2">
      <c r="A678">
        <f t="shared" si="44"/>
        <v>19</v>
      </c>
      <c r="B678">
        <v>669</v>
      </c>
      <c r="C678" s="1200">
        <v>2</v>
      </c>
      <c r="D678" s="1201" t="s">
        <v>5061</v>
      </c>
      <c r="E678" s="1201" t="s">
        <v>5072</v>
      </c>
      <c r="F678" s="1185">
        <v>1</v>
      </c>
      <c r="G678" s="1186">
        <v>23.1</v>
      </c>
      <c r="H678" s="1186">
        <v>2.39</v>
      </c>
      <c r="I678" s="1186">
        <v>28.4</v>
      </c>
      <c r="J678" s="1186">
        <v>3.06</v>
      </c>
      <c r="K678" s="1186">
        <v>32.799999999999997</v>
      </c>
      <c r="L678" s="1186">
        <v>3.52</v>
      </c>
      <c r="M678" s="1186">
        <v>35</v>
      </c>
      <c r="N678" s="1186">
        <v>4.0999999999999996</v>
      </c>
      <c r="O678" s="1186"/>
      <c r="P678" s="1186"/>
      <c r="Q678" s="1186"/>
      <c r="R678" s="1186"/>
      <c r="S678" s="1186"/>
      <c r="T678" s="1186"/>
      <c r="U678" s="1186"/>
      <c r="V678" s="1186"/>
      <c r="W678" s="1186"/>
      <c r="X678" s="1186"/>
      <c r="Y678" s="1186"/>
      <c r="Z678" s="1186"/>
      <c r="AA678" s="1186"/>
      <c r="AB678" s="1186"/>
      <c r="AC678" s="1186"/>
      <c r="AD678" s="1187"/>
    </row>
    <row r="679" spans="1:30" x14ac:dyDescent="0.2">
      <c r="A679">
        <f t="shared" si="44"/>
        <v>19</v>
      </c>
      <c r="B679">
        <v>670</v>
      </c>
      <c r="C679" s="1200">
        <v>2</v>
      </c>
      <c r="D679" s="1201" t="s">
        <v>5061</v>
      </c>
      <c r="E679" s="1201" t="s">
        <v>5073</v>
      </c>
      <c r="F679" s="1185">
        <v>1</v>
      </c>
      <c r="G679" s="1186">
        <v>34.200000000000003</v>
      </c>
      <c r="H679" s="1186">
        <v>2.4300000000000002</v>
      </c>
      <c r="I679" s="1186">
        <v>36</v>
      </c>
      <c r="J679" s="1186">
        <v>2.8</v>
      </c>
      <c r="K679" s="1186">
        <v>35</v>
      </c>
      <c r="L679" s="1186">
        <v>3.67</v>
      </c>
      <c r="M679" s="1186">
        <v>35</v>
      </c>
      <c r="N679" s="1186">
        <v>4.37</v>
      </c>
      <c r="O679" s="1186"/>
      <c r="P679" s="1186"/>
      <c r="Q679" s="1186"/>
      <c r="R679" s="1186"/>
      <c r="S679" s="1186"/>
      <c r="T679" s="1186"/>
      <c r="U679" s="1186"/>
      <c r="V679" s="1186"/>
      <c r="W679" s="1186"/>
      <c r="X679" s="1186"/>
      <c r="Y679" s="1186"/>
      <c r="Z679" s="1186"/>
      <c r="AA679" s="1186"/>
      <c r="AB679" s="1186"/>
      <c r="AC679" s="1186"/>
      <c r="AD679" s="1187"/>
    </row>
    <row r="680" spans="1:30" x14ac:dyDescent="0.2">
      <c r="A680">
        <f t="shared" si="44"/>
        <v>19</v>
      </c>
      <c r="B680">
        <v>671</v>
      </c>
      <c r="C680" s="1202">
        <v>2</v>
      </c>
      <c r="D680" s="1203" t="s">
        <v>5061</v>
      </c>
      <c r="E680" s="1203" t="s">
        <v>5074</v>
      </c>
      <c r="F680" s="1188">
        <v>1</v>
      </c>
      <c r="G680" s="1189">
        <v>28.9</v>
      </c>
      <c r="H680" s="1189">
        <v>2.67</v>
      </c>
      <c r="I680" s="1189">
        <v>36</v>
      </c>
      <c r="J680" s="1189">
        <v>2.9</v>
      </c>
      <c r="K680" s="1189">
        <v>40</v>
      </c>
      <c r="L680" s="1189">
        <v>3.6</v>
      </c>
      <c r="M680" s="1189">
        <v>45.5</v>
      </c>
      <c r="N680" s="1189">
        <v>4.05</v>
      </c>
      <c r="O680" s="1189"/>
      <c r="P680" s="1189"/>
      <c r="Q680" s="1189"/>
      <c r="R680" s="1189"/>
      <c r="S680" s="1189"/>
      <c r="T680" s="1189"/>
      <c r="U680" s="1189"/>
      <c r="V680" s="1189"/>
      <c r="W680" s="1189"/>
      <c r="X680" s="1189"/>
      <c r="Y680" s="1189"/>
      <c r="Z680" s="1189"/>
      <c r="AA680" s="1189"/>
      <c r="AB680" s="1189"/>
      <c r="AC680" s="1189"/>
      <c r="AD680" s="1187"/>
    </row>
    <row r="681" spans="1:30" x14ac:dyDescent="0.2">
      <c r="A681">
        <f t="shared" si="44"/>
        <v>19</v>
      </c>
      <c r="B681">
        <v>672</v>
      </c>
      <c r="C681" s="1204">
        <v>2</v>
      </c>
      <c r="D681" s="1205" t="s">
        <v>5061</v>
      </c>
      <c r="E681" s="1205" t="s">
        <v>5075</v>
      </c>
      <c r="F681" s="1192">
        <v>1</v>
      </c>
      <c r="G681" s="1193">
        <v>5.84</v>
      </c>
      <c r="H681" s="1193">
        <v>2.8</v>
      </c>
      <c r="I681" s="1193">
        <v>7.05</v>
      </c>
      <c r="J681" s="1193">
        <v>3.11</v>
      </c>
      <c r="K681" s="1193">
        <v>8.83</v>
      </c>
      <c r="L681" s="1193">
        <v>4.18</v>
      </c>
      <c r="M681" s="1193">
        <v>10</v>
      </c>
      <c r="N681" s="1193">
        <v>4.49</v>
      </c>
      <c r="O681" s="1193"/>
      <c r="P681" s="1193"/>
      <c r="Q681" s="1193"/>
      <c r="R681" s="1193"/>
      <c r="S681" s="1193"/>
      <c r="T681" s="1193"/>
      <c r="U681" s="1193"/>
      <c r="V681" s="1193"/>
      <c r="W681" s="1193"/>
      <c r="X681" s="1193"/>
      <c r="Y681" s="1193"/>
      <c r="Z681" s="1193"/>
      <c r="AA681" s="1193"/>
      <c r="AB681" s="1193"/>
      <c r="AC681" s="1193"/>
      <c r="AD681" s="1187"/>
    </row>
    <row r="682" spans="1:30" x14ac:dyDescent="0.2">
      <c r="A682">
        <f t="shared" si="44"/>
        <v>19</v>
      </c>
      <c r="B682">
        <v>673</v>
      </c>
      <c r="C682" s="1200">
        <v>2</v>
      </c>
      <c r="D682" s="1201" t="s">
        <v>5061</v>
      </c>
      <c r="E682" s="1201" t="s">
        <v>5076</v>
      </c>
      <c r="F682" s="1185">
        <v>1</v>
      </c>
      <c r="G682" s="1186">
        <v>9.3000000000000007</v>
      </c>
      <c r="H682" s="1186">
        <v>2.38</v>
      </c>
      <c r="I682" s="1186">
        <v>10</v>
      </c>
      <c r="J682" s="1186">
        <v>2.98</v>
      </c>
      <c r="K682" s="1186">
        <v>10</v>
      </c>
      <c r="L682" s="1186">
        <v>4.03</v>
      </c>
      <c r="M682" s="1186">
        <v>10</v>
      </c>
      <c r="N682" s="1186">
        <v>4.49</v>
      </c>
      <c r="O682" s="1186"/>
      <c r="P682" s="1186"/>
      <c r="Q682" s="1186"/>
      <c r="R682" s="1186"/>
      <c r="S682" s="1186"/>
      <c r="T682" s="1186"/>
      <c r="U682" s="1186"/>
      <c r="V682" s="1186"/>
      <c r="W682" s="1186"/>
      <c r="X682" s="1186"/>
      <c r="Y682" s="1186"/>
      <c r="Z682" s="1186"/>
      <c r="AA682" s="1186"/>
      <c r="AB682" s="1186"/>
      <c r="AC682" s="1186"/>
      <c r="AD682" s="1187"/>
    </row>
    <row r="683" spans="1:30" x14ac:dyDescent="0.2">
      <c r="A683">
        <f t="shared" si="44"/>
        <v>19</v>
      </c>
      <c r="B683">
        <v>674</v>
      </c>
      <c r="C683" s="1200">
        <v>2</v>
      </c>
      <c r="D683" s="1201" t="s">
        <v>5061</v>
      </c>
      <c r="E683" s="1201" t="s">
        <v>5077</v>
      </c>
      <c r="F683" s="1185">
        <v>1</v>
      </c>
      <c r="G683" s="1186">
        <v>6.6</v>
      </c>
      <c r="H683" s="1186">
        <v>2.64</v>
      </c>
      <c r="I683" s="1186">
        <v>8.0500000000000007</v>
      </c>
      <c r="J683" s="1186">
        <v>3.12</v>
      </c>
      <c r="K683" s="1186">
        <v>10.1</v>
      </c>
      <c r="L683" s="1186">
        <v>4</v>
      </c>
      <c r="M683" s="1186">
        <v>12.48</v>
      </c>
      <c r="N683" s="1186">
        <v>4.29</v>
      </c>
      <c r="O683" s="1186"/>
      <c r="P683" s="1186"/>
      <c r="Q683" s="1186"/>
      <c r="R683" s="1186"/>
      <c r="S683" s="1186"/>
      <c r="T683" s="1186"/>
      <c r="U683" s="1186"/>
      <c r="V683" s="1186"/>
      <c r="W683" s="1186"/>
      <c r="X683" s="1186"/>
      <c r="Y683" s="1186"/>
      <c r="Z683" s="1186"/>
      <c r="AA683" s="1186"/>
      <c r="AB683" s="1186"/>
      <c r="AC683" s="1186"/>
      <c r="AD683" s="1187"/>
    </row>
    <row r="684" spans="1:30" x14ac:dyDescent="0.2">
      <c r="A684">
        <f t="shared" si="44"/>
        <v>19</v>
      </c>
      <c r="B684">
        <v>675</v>
      </c>
      <c r="C684" s="1078">
        <v>2</v>
      </c>
      <c r="D684" s="1077" t="s">
        <v>5061</v>
      </c>
      <c r="E684" s="1077" t="s">
        <v>5078</v>
      </c>
      <c r="F684" s="1185">
        <v>1</v>
      </c>
      <c r="G684" s="1186">
        <v>12</v>
      </c>
      <c r="H684" s="1186">
        <v>2.42</v>
      </c>
      <c r="I684" s="1186">
        <v>12</v>
      </c>
      <c r="J684" s="1186">
        <v>3.2</v>
      </c>
      <c r="K684" s="1186">
        <v>12</v>
      </c>
      <c r="L684" s="1186">
        <v>4.25</v>
      </c>
      <c r="M684" s="1186">
        <v>12</v>
      </c>
      <c r="N684" s="1186">
        <v>4.46</v>
      </c>
      <c r="O684" s="1186"/>
      <c r="P684" s="1186"/>
      <c r="Q684" s="1186"/>
      <c r="R684" s="1186"/>
      <c r="S684" s="1186"/>
      <c r="T684" s="1186"/>
      <c r="U684" s="1186"/>
      <c r="V684" s="1186"/>
      <c r="W684" s="1186"/>
      <c r="X684" s="1186"/>
      <c r="Y684" s="1186"/>
      <c r="Z684" s="1186"/>
      <c r="AA684" s="1186"/>
      <c r="AB684" s="1186"/>
      <c r="AC684" s="1186"/>
      <c r="AD684" s="1187"/>
    </row>
    <row r="685" spans="1:30" x14ac:dyDescent="0.2">
      <c r="A685">
        <f t="shared" si="44"/>
        <v>19</v>
      </c>
      <c r="B685">
        <v>676</v>
      </c>
      <c r="C685" s="1078">
        <v>2</v>
      </c>
      <c r="D685" s="1077" t="s">
        <v>5061</v>
      </c>
      <c r="E685" s="1077" t="s">
        <v>5079</v>
      </c>
      <c r="F685" s="1185">
        <v>1</v>
      </c>
      <c r="G685" s="1186">
        <v>9.07</v>
      </c>
      <c r="H685" s="1186">
        <v>2.81</v>
      </c>
      <c r="I685" s="1186">
        <v>11</v>
      </c>
      <c r="J685" s="1186">
        <v>3.12</v>
      </c>
      <c r="K685" s="1186">
        <v>13.7</v>
      </c>
      <c r="L685" s="1186">
        <v>4.1900000000000004</v>
      </c>
      <c r="M685" s="1186">
        <v>16.600000000000001</v>
      </c>
      <c r="N685" s="1186">
        <v>4.38</v>
      </c>
      <c r="O685" s="1186"/>
      <c r="P685" s="1186"/>
      <c r="Q685" s="1186"/>
      <c r="R685" s="1186"/>
      <c r="S685" s="1186"/>
      <c r="T685" s="1186"/>
      <c r="U685" s="1186"/>
      <c r="V685" s="1186"/>
      <c r="W685" s="1186"/>
      <c r="X685" s="1186"/>
      <c r="Y685" s="1186"/>
      <c r="Z685" s="1186"/>
      <c r="AA685" s="1186"/>
      <c r="AB685" s="1186"/>
      <c r="AC685" s="1186"/>
      <c r="AD685" s="1187"/>
    </row>
    <row r="686" spans="1:30" x14ac:dyDescent="0.2">
      <c r="A686">
        <f t="shared" si="44"/>
        <v>19</v>
      </c>
      <c r="B686">
        <v>677</v>
      </c>
      <c r="C686" s="1078">
        <v>2</v>
      </c>
      <c r="D686" s="1077" t="s">
        <v>5061</v>
      </c>
      <c r="E686" s="1077" t="s">
        <v>5080</v>
      </c>
      <c r="F686" s="1185">
        <v>1</v>
      </c>
      <c r="G686" s="1186">
        <v>13.8</v>
      </c>
      <c r="H686" s="1186">
        <v>2.65</v>
      </c>
      <c r="I686" s="1186">
        <v>15</v>
      </c>
      <c r="J686" s="1186">
        <v>2.98</v>
      </c>
      <c r="K686" s="1186">
        <v>15</v>
      </c>
      <c r="L686" s="1186">
        <v>4.05</v>
      </c>
      <c r="M686" s="1186">
        <v>15</v>
      </c>
      <c r="N686" s="1186">
        <v>4.93</v>
      </c>
      <c r="O686" s="1186"/>
      <c r="P686" s="1186"/>
      <c r="Q686" s="1186"/>
      <c r="R686" s="1186"/>
      <c r="S686" s="1186"/>
      <c r="T686" s="1186"/>
      <c r="U686" s="1186"/>
      <c r="V686" s="1186"/>
      <c r="W686" s="1186"/>
      <c r="X686" s="1186"/>
      <c r="Y686" s="1186"/>
      <c r="Z686" s="1186"/>
      <c r="AA686" s="1186"/>
      <c r="AB686" s="1186"/>
      <c r="AC686" s="1186"/>
      <c r="AD686" s="1187"/>
    </row>
    <row r="687" spans="1:30" x14ac:dyDescent="0.2">
      <c r="A687">
        <f t="shared" si="44"/>
        <v>19</v>
      </c>
      <c r="B687">
        <v>678</v>
      </c>
      <c r="C687" s="1078">
        <v>2</v>
      </c>
      <c r="D687" s="1077" t="s">
        <v>5061</v>
      </c>
      <c r="E687" s="1077" t="s">
        <v>5081</v>
      </c>
      <c r="F687" s="1185">
        <v>1</v>
      </c>
      <c r="G687" s="1186">
        <v>12.4</v>
      </c>
      <c r="H687" s="1186">
        <v>2.42</v>
      </c>
      <c r="I687" s="1186">
        <v>14.6</v>
      </c>
      <c r="J687" s="1186">
        <v>2.85</v>
      </c>
      <c r="K687" s="1186">
        <v>17.5</v>
      </c>
      <c r="L687" s="1186">
        <v>3.6</v>
      </c>
      <c r="M687" s="1186">
        <v>20.2</v>
      </c>
      <c r="N687" s="1186">
        <v>4.05</v>
      </c>
      <c r="O687" s="1186"/>
      <c r="P687" s="1186"/>
      <c r="Q687" s="1186"/>
      <c r="R687" s="1186"/>
      <c r="S687" s="1186"/>
      <c r="T687" s="1186"/>
      <c r="U687" s="1186"/>
      <c r="V687" s="1186"/>
      <c r="W687" s="1186"/>
      <c r="X687" s="1186"/>
      <c r="Y687" s="1186"/>
      <c r="Z687" s="1186"/>
      <c r="AA687" s="1186"/>
      <c r="AB687" s="1186"/>
      <c r="AC687" s="1186"/>
      <c r="AD687" s="1187"/>
    </row>
    <row r="688" spans="1:30" x14ac:dyDescent="0.2">
      <c r="A688">
        <f t="shared" si="44"/>
        <v>19</v>
      </c>
      <c r="B688">
        <v>679</v>
      </c>
      <c r="C688" s="1078">
        <v>2</v>
      </c>
      <c r="D688" s="1077" t="s">
        <v>5061</v>
      </c>
      <c r="E688" s="1077" t="s">
        <v>5082</v>
      </c>
      <c r="F688" s="1185">
        <v>1</v>
      </c>
      <c r="G688" s="1186">
        <v>16</v>
      </c>
      <c r="H688" s="1186">
        <v>2.35</v>
      </c>
      <c r="I688" s="1186">
        <v>18</v>
      </c>
      <c r="J688" s="1186">
        <v>2.75</v>
      </c>
      <c r="K688" s="1186">
        <v>18</v>
      </c>
      <c r="L688" s="1186">
        <v>3.55</v>
      </c>
      <c r="M688" s="1186">
        <v>18</v>
      </c>
      <c r="N688" s="1186">
        <v>4.57</v>
      </c>
      <c r="O688" s="1186"/>
      <c r="P688" s="1186"/>
      <c r="Q688" s="1186"/>
      <c r="R688" s="1186"/>
      <c r="S688" s="1186"/>
      <c r="T688" s="1186"/>
      <c r="U688" s="1186"/>
      <c r="V688" s="1186"/>
      <c r="W688" s="1186"/>
      <c r="X688" s="1186"/>
      <c r="Y688" s="1186"/>
      <c r="Z688" s="1186"/>
      <c r="AA688" s="1186"/>
      <c r="AB688" s="1186"/>
      <c r="AC688" s="1186"/>
      <c r="AD688" s="1187"/>
    </row>
    <row r="689" spans="1:30" x14ac:dyDescent="0.2">
      <c r="A689">
        <f t="shared" si="44"/>
        <v>19</v>
      </c>
      <c r="B689">
        <v>680</v>
      </c>
      <c r="C689" s="1078">
        <v>2</v>
      </c>
      <c r="D689" s="1077" t="s">
        <v>5061</v>
      </c>
      <c r="E689" s="1077" t="s">
        <v>5083</v>
      </c>
      <c r="F689" s="1185">
        <v>1</v>
      </c>
      <c r="G689" s="1186">
        <v>17.5</v>
      </c>
      <c r="H689" s="1186">
        <v>2.68</v>
      </c>
      <c r="I689" s="1186">
        <v>20.100000000000001</v>
      </c>
      <c r="J689" s="1186">
        <v>3.25</v>
      </c>
      <c r="K689" s="1186">
        <v>20.100000000000001</v>
      </c>
      <c r="L689" s="1186">
        <v>3.85</v>
      </c>
      <c r="M689" s="1186">
        <v>25.5</v>
      </c>
      <c r="N689" s="1186">
        <v>4.3099999999999996</v>
      </c>
      <c r="O689" s="1186"/>
      <c r="P689" s="1186"/>
      <c r="Q689" s="1186"/>
      <c r="R689" s="1186"/>
      <c r="S689" s="1186"/>
      <c r="T689" s="1186"/>
      <c r="U689" s="1186"/>
      <c r="V689" s="1186"/>
      <c r="W689" s="1186"/>
      <c r="X689" s="1186"/>
      <c r="Y689" s="1186"/>
      <c r="Z689" s="1186"/>
      <c r="AA689" s="1186"/>
      <c r="AB689" s="1186"/>
      <c r="AC689" s="1186"/>
      <c r="AD689" s="1187"/>
    </row>
    <row r="690" spans="1:30" x14ac:dyDescent="0.2">
      <c r="A690">
        <f t="shared" si="44"/>
        <v>19</v>
      </c>
      <c r="B690">
        <v>681</v>
      </c>
      <c r="C690" s="1078">
        <v>2</v>
      </c>
      <c r="D690" s="1077" t="s">
        <v>5061</v>
      </c>
      <c r="E690" s="1077" t="s">
        <v>5084</v>
      </c>
      <c r="F690" s="1185">
        <v>1</v>
      </c>
      <c r="G690" s="1186">
        <v>19.25</v>
      </c>
      <c r="H690" s="1186">
        <v>2.42</v>
      </c>
      <c r="I690" s="1186">
        <v>21.29</v>
      </c>
      <c r="J690" s="1186">
        <v>2.89</v>
      </c>
      <c r="K690" s="1186">
        <v>29.88</v>
      </c>
      <c r="L690" s="1186">
        <v>3.56</v>
      </c>
      <c r="M690" s="1186">
        <v>31.9</v>
      </c>
      <c r="N690" s="1186">
        <v>4.1399999999999997</v>
      </c>
      <c r="O690" s="1186"/>
      <c r="P690" s="1186"/>
      <c r="Q690" s="1186"/>
      <c r="R690" s="1186"/>
      <c r="S690" s="1186"/>
      <c r="T690" s="1186"/>
      <c r="U690" s="1186"/>
      <c r="V690" s="1186"/>
      <c r="W690" s="1186"/>
      <c r="X690" s="1186"/>
      <c r="Y690" s="1186"/>
      <c r="Z690" s="1186"/>
      <c r="AA690" s="1186"/>
      <c r="AB690" s="1186"/>
      <c r="AC690" s="1186"/>
      <c r="AD690" s="1187"/>
    </row>
    <row r="691" spans="1:30" x14ac:dyDescent="0.2">
      <c r="A691">
        <f t="shared" si="44"/>
        <v>19</v>
      </c>
      <c r="B691">
        <v>682</v>
      </c>
      <c r="C691" s="1078">
        <v>2</v>
      </c>
      <c r="D691" s="1077" t="s">
        <v>5061</v>
      </c>
      <c r="E691" s="1077" t="s">
        <v>5085</v>
      </c>
      <c r="F691" s="1185">
        <v>1</v>
      </c>
      <c r="G691" s="1186">
        <v>23.1</v>
      </c>
      <c r="H691" s="1186">
        <v>2.39</v>
      </c>
      <c r="I691" s="1186">
        <v>28.4</v>
      </c>
      <c r="J691" s="1186">
        <v>3.06</v>
      </c>
      <c r="K691" s="1186">
        <v>32.799999999999997</v>
      </c>
      <c r="L691" s="1186">
        <v>3.52</v>
      </c>
      <c r="M691" s="1186">
        <v>35</v>
      </c>
      <c r="N691" s="1186">
        <v>4.0999999999999996</v>
      </c>
      <c r="O691" s="1186"/>
      <c r="P691" s="1186"/>
      <c r="Q691" s="1186"/>
      <c r="R691" s="1186"/>
      <c r="S691" s="1186"/>
      <c r="T691" s="1186"/>
      <c r="U691" s="1186"/>
      <c r="V691" s="1186"/>
      <c r="W691" s="1186"/>
      <c r="X691" s="1186"/>
      <c r="Y691" s="1186"/>
      <c r="Z691" s="1186"/>
      <c r="AA691" s="1186"/>
      <c r="AB691" s="1186"/>
      <c r="AC691" s="1186"/>
      <c r="AD691" s="1187"/>
    </row>
    <row r="692" spans="1:30" x14ac:dyDescent="0.2">
      <c r="A692">
        <f t="shared" si="44"/>
        <v>19</v>
      </c>
      <c r="B692">
        <v>683</v>
      </c>
      <c r="C692" s="1078">
        <v>2</v>
      </c>
      <c r="D692" s="1077" t="s">
        <v>5061</v>
      </c>
      <c r="E692" s="1077" t="s">
        <v>5086</v>
      </c>
      <c r="F692" s="1185">
        <v>1</v>
      </c>
      <c r="G692" s="1186">
        <v>34.200000000000003</v>
      </c>
      <c r="H692" s="1186">
        <v>2.4300000000000002</v>
      </c>
      <c r="I692" s="1186">
        <v>36</v>
      </c>
      <c r="J692" s="1186">
        <v>2.8</v>
      </c>
      <c r="K692" s="1186">
        <v>35</v>
      </c>
      <c r="L692" s="1186">
        <v>3.67</v>
      </c>
      <c r="M692" s="1186">
        <v>35</v>
      </c>
      <c r="N692" s="1186">
        <v>4.37</v>
      </c>
      <c r="O692" s="1186"/>
      <c r="P692" s="1186"/>
      <c r="Q692" s="1186"/>
      <c r="R692" s="1186"/>
      <c r="S692" s="1186"/>
      <c r="T692" s="1186"/>
      <c r="U692" s="1186"/>
      <c r="V692" s="1186"/>
      <c r="W692" s="1186"/>
      <c r="X692" s="1186"/>
      <c r="Y692" s="1186"/>
      <c r="Z692" s="1186"/>
      <c r="AA692" s="1186"/>
      <c r="AB692" s="1186"/>
      <c r="AC692" s="1186"/>
      <c r="AD692" s="1187"/>
    </row>
    <row r="693" spans="1:30" x14ac:dyDescent="0.2">
      <c r="A693">
        <f t="shared" si="44"/>
        <v>19</v>
      </c>
      <c r="B693">
        <v>684</v>
      </c>
      <c r="C693" s="1078">
        <v>2</v>
      </c>
      <c r="D693" s="1077" t="s">
        <v>5061</v>
      </c>
      <c r="E693" s="1077" t="s">
        <v>5087</v>
      </c>
      <c r="F693" s="1185">
        <v>1</v>
      </c>
      <c r="G693" s="1186">
        <v>28.9</v>
      </c>
      <c r="H693" s="1186">
        <v>2.67</v>
      </c>
      <c r="I693" s="1186">
        <v>36</v>
      </c>
      <c r="J693" s="1186">
        <v>2.9</v>
      </c>
      <c r="K693" s="1186">
        <v>40</v>
      </c>
      <c r="L693" s="1186">
        <v>3.6</v>
      </c>
      <c r="M693" s="1186">
        <v>45.5</v>
      </c>
      <c r="N693" s="1186">
        <v>4.05</v>
      </c>
      <c r="O693" s="1186"/>
      <c r="P693" s="1186"/>
      <c r="Q693" s="1186"/>
      <c r="R693" s="1186"/>
      <c r="S693" s="1186"/>
      <c r="T693" s="1186"/>
      <c r="U693" s="1186"/>
      <c r="V693" s="1186"/>
      <c r="W693" s="1186"/>
      <c r="X693" s="1186"/>
      <c r="Y693" s="1186"/>
      <c r="Z693" s="1186"/>
      <c r="AA693" s="1186"/>
      <c r="AB693" s="1186"/>
      <c r="AC693" s="1186"/>
      <c r="AD693" s="1187"/>
    </row>
    <row r="694" spans="1:30" x14ac:dyDescent="0.2">
      <c r="A694">
        <f t="shared" si="44"/>
        <v>20</v>
      </c>
      <c r="B694">
        <v>685</v>
      </c>
      <c r="C694" s="1078">
        <v>2</v>
      </c>
      <c r="D694" s="1077" t="s">
        <v>5578</v>
      </c>
      <c r="E694" s="1077" t="s">
        <v>5579</v>
      </c>
      <c r="F694" s="1185">
        <v>3</v>
      </c>
      <c r="G694" s="1186">
        <v>5.7</v>
      </c>
      <c r="H694" s="1186">
        <v>2.65</v>
      </c>
      <c r="I694" s="1186">
        <v>6</v>
      </c>
      <c r="J694" s="1186">
        <v>3.17</v>
      </c>
      <c r="K694" s="1186">
        <v>6</v>
      </c>
      <c r="L694" s="1186">
        <v>3.75</v>
      </c>
      <c r="M694" s="1186">
        <v>5</v>
      </c>
      <c r="N694" s="1186">
        <v>5.0199999999999996</v>
      </c>
      <c r="O694" s="1186">
        <v>5</v>
      </c>
      <c r="P694" s="1186">
        <v>6.86</v>
      </c>
      <c r="Q694" s="1186">
        <v>5.5</v>
      </c>
      <c r="R694" s="1186">
        <v>2.0299999999999998</v>
      </c>
      <c r="S694" s="1186">
        <v>4</v>
      </c>
      <c r="T694" s="1186">
        <v>2.4500000000000002</v>
      </c>
      <c r="U694" s="1186">
        <v>4</v>
      </c>
      <c r="V694" s="1186">
        <v>3.8</v>
      </c>
      <c r="W694" s="1186"/>
      <c r="X694" s="1186"/>
      <c r="Y694" s="1186"/>
      <c r="Z694" s="1186"/>
      <c r="AA694" s="1186"/>
      <c r="AB694" s="1186"/>
      <c r="AC694" s="1186"/>
      <c r="AD694" s="1187"/>
    </row>
    <row r="695" spans="1:30" x14ac:dyDescent="0.2">
      <c r="A695">
        <f t="shared" si="44"/>
        <v>20</v>
      </c>
      <c r="B695">
        <v>686</v>
      </c>
      <c r="C695" s="1078">
        <v>2</v>
      </c>
      <c r="D695" s="1077" t="s">
        <v>5578</v>
      </c>
      <c r="E695" s="1077" t="s">
        <v>5580</v>
      </c>
      <c r="F695" s="1185">
        <v>3</v>
      </c>
      <c r="G695" s="1186">
        <v>7.3</v>
      </c>
      <c r="H695" s="1186">
        <v>2.5499999999999998</v>
      </c>
      <c r="I695" s="1186">
        <v>8</v>
      </c>
      <c r="J695" s="1186">
        <v>3.11</v>
      </c>
      <c r="K695" s="1186">
        <v>8</v>
      </c>
      <c r="L695" s="1186">
        <v>3.7</v>
      </c>
      <c r="M695" s="1186">
        <v>6</v>
      </c>
      <c r="N695" s="1186">
        <v>5.0199999999999996</v>
      </c>
      <c r="O695" s="1186">
        <v>6</v>
      </c>
      <c r="P695" s="1186">
        <v>7</v>
      </c>
      <c r="Q695" s="1186">
        <v>7.1</v>
      </c>
      <c r="R695" s="1186">
        <v>1.98</v>
      </c>
      <c r="S695" s="1186">
        <v>4</v>
      </c>
      <c r="T695" s="1186">
        <v>2.5</v>
      </c>
      <c r="U695" s="1186">
        <v>4</v>
      </c>
      <c r="V695" s="1186">
        <v>3.8</v>
      </c>
      <c r="W695" s="1186"/>
      <c r="X695" s="1186"/>
      <c r="Y695" s="1186"/>
      <c r="Z695" s="1186"/>
      <c r="AA695" s="1186"/>
      <c r="AB695" s="1186"/>
      <c r="AC695" s="1186"/>
      <c r="AD695" s="1187"/>
    </row>
    <row r="696" spans="1:30" x14ac:dyDescent="0.2">
      <c r="A696">
        <f t="shared" si="44"/>
        <v>20</v>
      </c>
      <c r="B696">
        <v>687</v>
      </c>
      <c r="C696" s="1078">
        <v>2</v>
      </c>
      <c r="D696" s="1077" t="s">
        <v>5578</v>
      </c>
      <c r="E696" s="1077" t="s">
        <v>5581</v>
      </c>
      <c r="F696" s="1185">
        <v>3</v>
      </c>
      <c r="G696" s="1186">
        <v>9</v>
      </c>
      <c r="H696" s="1186">
        <v>2.25</v>
      </c>
      <c r="I696" s="1186">
        <v>10</v>
      </c>
      <c r="J696" s="1186">
        <v>2.98</v>
      </c>
      <c r="K696" s="1186">
        <v>10</v>
      </c>
      <c r="L696" s="1186">
        <v>3.47</v>
      </c>
      <c r="M696" s="1186">
        <v>8</v>
      </c>
      <c r="N696" s="1186">
        <v>5.0199999999999996</v>
      </c>
      <c r="O696" s="1186">
        <v>8</v>
      </c>
      <c r="P696" s="1186">
        <v>7.21</v>
      </c>
      <c r="Q696" s="1186">
        <v>9</v>
      </c>
      <c r="R696" s="1186">
        <v>1.89</v>
      </c>
      <c r="S696" s="1186">
        <v>7</v>
      </c>
      <c r="T696" s="1186">
        <v>2.7</v>
      </c>
      <c r="U696" s="1186">
        <v>7</v>
      </c>
      <c r="V696" s="1186">
        <v>3.97</v>
      </c>
      <c r="W696" s="1186"/>
      <c r="X696" s="1186"/>
      <c r="Y696" s="1186"/>
      <c r="Z696" s="1186"/>
      <c r="AA696" s="1186"/>
      <c r="AB696" s="1186"/>
      <c r="AC696" s="1186"/>
      <c r="AD696" s="1187"/>
    </row>
    <row r="697" spans="1:30" x14ac:dyDescent="0.2">
      <c r="A697">
        <f t="shared" si="44"/>
        <v>20</v>
      </c>
      <c r="B697">
        <v>688</v>
      </c>
      <c r="C697" s="1078">
        <v>2</v>
      </c>
      <c r="D697" s="1077" t="s">
        <v>5578</v>
      </c>
      <c r="E697" s="1077" t="s">
        <v>5582</v>
      </c>
      <c r="F697" s="1185">
        <v>3</v>
      </c>
      <c r="G697" s="1186">
        <v>10.4</v>
      </c>
      <c r="H697" s="1186">
        <v>2.14</v>
      </c>
      <c r="I697" s="1186">
        <v>12.1</v>
      </c>
      <c r="J697" s="1186">
        <v>2.74</v>
      </c>
      <c r="K697" s="1186">
        <v>12.1</v>
      </c>
      <c r="L697" s="1186">
        <v>3.27</v>
      </c>
      <c r="M697" s="1186">
        <v>10</v>
      </c>
      <c r="N697" s="1186">
        <v>4.87</v>
      </c>
      <c r="O697" s="1186">
        <v>10</v>
      </c>
      <c r="P697" s="1186">
        <v>7.14</v>
      </c>
      <c r="Q697" s="1186">
        <v>11</v>
      </c>
      <c r="R697" s="1186">
        <v>1.79</v>
      </c>
      <c r="S697" s="1186">
        <v>7</v>
      </c>
      <c r="T697" s="1186">
        <v>2.7</v>
      </c>
      <c r="U697" s="1186">
        <v>7</v>
      </c>
      <c r="V697" s="1186">
        <v>3.88</v>
      </c>
      <c r="W697" s="1186"/>
      <c r="X697" s="1186"/>
      <c r="Y697" s="1186"/>
      <c r="Z697" s="1186"/>
      <c r="AA697" s="1186"/>
      <c r="AB697" s="1186"/>
      <c r="AC697" s="1186"/>
      <c r="AD697" s="1187"/>
    </row>
    <row r="698" spans="1:30" x14ac:dyDescent="0.2">
      <c r="A698">
        <f t="shared" si="44"/>
        <v>20</v>
      </c>
      <c r="B698">
        <v>689</v>
      </c>
      <c r="C698" s="1078">
        <v>2</v>
      </c>
      <c r="D698" s="1077" t="s">
        <v>5578</v>
      </c>
      <c r="E698" s="1077" t="s">
        <v>5583</v>
      </c>
      <c r="F698" s="1185">
        <v>3</v>
      </c>
      <c r="G698" s="1186">
        <v>12</v>
      </c>
      <c r="H698" s="1186">
        <v>1.9</v>
      </c>
      <c r="I698" s="1186">
        <v>13</v>
      </c>
      <c r="J698" s="1186">
        <v>2.5499999999999998</v>
      </c>
      <c r="K698" s="1186">
        <v>14</v>
      </c>
      <c r="L698" s="1186">
        <v>3.21</v>
      </c>
      <c r="M698" s="1186">
        <v>12</v>
      </c>
      <c r="N698" s="1186">
        <v>4.8499999999999996</v>
      </c>
      <c r="O698" s="1186">
        <v>12</v>
      </c>
      <c r="P698" s="1186">
        <v>6.84</v>
      </c>
      <c r="Q698" s="1186">
        <v>11.1</v>
      </c>
      <c r="R698" s="1186">
        <v>1.83</v>
      </c>
      <c r="S698" s="1186">
        <v>7</v>
      </c>
      <c r="T698" s="1186">
        <v>2.7</v>
      </c>
      <c r="U698" s="1186">
        <v>7</v>
      </c>
      <c r="V698" s="1186">
        <v>3.72</v>
      </c>
      <c r="W698" s="1186"/>
      <c r="X698" s="1186"/>
      <c r="Y698" s="1186"/>
      <c r="Z698" s="1186"/>
      <c r="AA698" s="1186"/>
      <c r="AB698" s="1186"/>
      <c r="AC698" s="1186"/>
      <c r="AD698" s="1187"/>
    </row>
    <row r="699" spans="1:30" x14ac:dyDescent="0.2">
      <c r="A699">
        <f t="shared" si="44"/>
        <v>20</v>
      </c>
      <c r="B699">
        <v>690</v>
      </c>
      <c r="C699" s="1078">
        <v>2</v>
      </c>
      <c r="D699" s="1077" t="s">
        <v>5578</v>
      </c>
      <c r="E699" s="1077" t="s">
        <v>5584</v>
      </c>
      <c r="F699" s="1185">
        <v>3</v>
      </c>
      <c r="G699" s="1186">
        <v>6</v>
      </c>
      <c r="H699" s="1186">
        <v>2.7</v>
      </c>
      <c r="I699" s="1186">
        <v>6</v>
      </c>
      <c r="J699" s="1186">
        <v>3.2</v>
      </c>
      <c r="K699" s="1186">
        <v>6</v>
      </c>
      <c r="L699" s="1186">
        <v>3.85</v>
      </c>
      <c r="M699" s="1186">
        <v>5</v>
      </c>
      <c r="N699" s="1186">
        <v>5.08</v>
      </c>
      <c r="O699" s="1186">
        <v>5</v>
      </c>
      <c r="P699" s="1186">
        <v>6.86</v>
      </c>
      <c r="Q699" s="1186">
        <v>5.5</v>
      </c>
      <c r="R699" s="1186">
        <v>1.98</v>
      </c>
      <c r="S699" s="1186">
        <v>4</v>
      </c>
      <c r="T699" s="1186">
        <v>2.4500000000000002</v>
      </c>
      <c r="U699" s="1186">
        <v>4</v>
      </c>
      <c r="V699" s="1186">
        <v>3.8</v>
      </c>
      <c r="W699" s="1186"/>
      <c r="X699" s="1186"/>
      <c r="Y699" s="1186"/>
      <c r="Z699" s="1186"/>
      <c r="AA699" s="1186"/>
      <c r="AB699" s="1186"/>
      <c r="AC699" s="1186"/>
      <c r="AD699" s="1187"/>
    </row>
    <row r="700" spans="1:30" x14ac:dyDescent="0.2">
      <c r="A700">
        <f t="shared" si="44"/>
        <v>20</v>
      </c>
      <c r="B700">
        <v>691</v>
      </c>
      <c r="C700" s="1078">
        <v>2</v>
      </c>
      <c r="D700" s="1077" t="s">
        <v>5578</v>
      </c>
      <c r="E700" s="1077" t="s">
        <v>5585</v>
      </c>
      <c r="F700" s="1185">
        <v>3</v>
      </c>
      <c r="G700" s="1186">
        <v>8</v>
      </c>
      <c r="H700" s="1186">
        <v>2.7</v>
      </c>
      <c r="I700" s="1186">
        <v>8</v>
      </c>
      <c r="J700" s="1186">
        <v>3.18</v>
      </c>
      <c r="K700" s="1186">
        <v>8</v>
      </c>
      <c r="L700" s="1186">
        <v>3.8</v>
      </c>
      <c r="M700" s="1186">
        <v>6</v>
      </c>
      <c r="N700" s="1186">
        <v>5.05</v>
      </c>
      <c r="O700" s="1186">
        <v>6</v>
      </c>
      <c r="P700" s="1186">
        <v>7</v>
      </c>
      <c r="Q700" s="1186">
        <v>7.9</v>
      </c>
      <c r="R700" s="1186">
        <v>1.99</v>
      </c>
      <c r="S700" s="1186">
        <v>4</v>
      </c>
      <c r="T700" s="1186">
        <v>2.5</v>
      </c>
      <c r="U700" s="1186">
        <v>4</v>
      </c>
      <c r="V700" s="1186">
        <v>3.8</v>
      </c>
      <c r="W700" s="1186"/>
      <c r="X700" s="1186"/>
      <c r="Y700" s="1186"/>
      <c r="Z700" s="1186"/>
      <c r="AA700" s="1186"/>
      <c r="AB700" s="1186"/>
      <c r="AC700" s="1186"/>
      <c r="AD700" s="1187"/>
    </row>
    <row r="701" spans="1:30" x14ac:dyDescent="0.2">
      <c r="A701">
        <f t="shared" si="44"/>
        <v>20</v>
      </c>
      <c r="B701">
        <v>692</v>
      </c>
      <c r="C701" s="1078">
        <v>2</v>
      </c>
      <c r="D701" s="1077" t="s">
        <v>5578</v>
      </c>
      <c r="E701" s="1077" t="s">
        <v>5586</v>
      </c>
      <c r="F701" s="1185">
        <v>3</v>
      </c>
      <c r="G701" s="1186">
        <v>10</v>
      </c>
      <c r="H701" s="1186">
        <v>2.64</v>
      </c>
      <c r="I701" s="1186">
        <v>10</v>
      </c>
      <c r="J701" s="1186">
        <v>3.07</v>
      </c>
      <c r="K701" s="1186">
        <v>10</v>
      </c>
      <c r="L701" s="1186">
        <v>3.55</v>
      </c>
      <c r="M701" s="1186">
        <v>8</v>
      </c>
      <c r="N701" s="1186">
        <v>5.05</v>
      </c>
      <c r="O701" s="1186">
        <v>8</v>
      </c>
      <c r="P701" s="1186">
        <v>7.21</v>
      </c>
      <c r="Q701" s="1186">
        <v>10</v>
      </c>
      <c r="R701" s="1186">
        <v>2.0299999999999998</v>
      </c>
      <c r="S701" s="1186">
        <v>7</v>
      </c>
      <c r="T701" s="1186">
        <v>2.7</v>
      </c>
      <c r="U701" s="1186">
        <v>7</v>
      </c>
      <c r="V701" s="1186">
        <v>3.97</v>
      </c>
      <c r="W701" s="1186"/>
      <c r="X701" s="1186"/>
      <c r="Y701" s="1186"/>
      <c r="Z701" s="1186"/>
      <c r="AA701" s="1186"/>
      <c r="AB701" s="1186"/>
      <c r="AC701" s="1186"/>
      <c r="AD701" s="1187"/>
    </row>
    <row r="702" spans="1:30" x14ac:dyDescent="0.2">
      <c r="A702">
        <f t="shared" si="44"/>
        <v>20</v>
      </c>
      <c r="B702">
        <v>693</v>
      </c>
      <c r="C702" s="1078">
        <v>2</v>
      </c>
      <c r="D702" s="1077" t="s">
        <v>5578</v>
      </c>
      <c r="E702" s="1077" t="s">
        <v>5587</v>
      </c>
      <c r="F702" s="1185">
        <v>3</v>
      </c>
      <c r="G702" s="1186">
        <v>12.1</v>
      </c>
      <c r="H702" s="1186">
        <v>2.4500000000000002</v>
      </c>
      <c r="I702" s="1186">
        <v>12.1</v>
      </c>
      <c r="J702" s="1186">
        <v>2.9</v>
      </c>
      <c r="K702" s="1186">
        <v>12.1</v>
      </c>
      <c r="L702" s="1186">
        <v>3.35</v>
      </c>
      <c r="M702" s="1186">
        <v>10</v>
      </c>
      <c r="N702" s="1186">
        <v>4.9000000000000004</v>
      </c>
      <c r="O702" s="1186">
        <v>10</v>
      </c>
      <c r="P702" s="1186">
        <v>7.14</v>
      </c>
      <c r="Q702" s="1186">
        <v>12.1</v>
      </c>
      <c r="R702" s="1186">
        <v>1.94</v>
      </c>
      <c r="S702" s="1186">
        <v>7</v>
      </c>
      <c r="T702" s="1186">
        <v>2.7</v>
      </c>
      <c r="U702" s="1186">
        <v>7</v>
      </c>
      <c r="V702" s="1186">
        <v>4</v>
      </c>
      <c r="W702" s="1186"/>
      <c r="X702" s="1186"/>
      <c r="Y702" s="1186"/>
      <c r="Z702" s="1186"/>
      <c r="AA702" s="1186"/>
      <c r="AB702" s="1186"/>
      <c r="AC702" s="1186"/>
      <c r="AD702" s="1187"/>
    </row>
    <row r="703" spans="1:30" x14ac:dyDescent="0.2">
      <c r="A703">
        <f t="shared" si="44"/>
        <v>20</v>
      </c>
      <c r="B703">
        <v>694</v>
      </c>
      <c r="C703" s="1078">
        <v>2</v>
      </c>
      <c r="D703" s="1077" t="s">
        <v>5578</v>
      </c>
      <c r="E703" s="1077" t="s">
        <v>5588</v>
      </c>
      <c r="F703" s="1185">
        <v>3</v>
      </c>
      <c r="G703" s="1186">
        <v>14</v>
      </c>
      <c r="H703" s="1186">
        <v>2.19</v>
      </c>
      <c r="I703" s="1186">
        <v>14</v>
      </c>
      <c r="J703" s="1186">
        <v>2.77</v>
      </c>
      <c r="K703" s="1186">
        <v>14</v>
      </c>
      <c r="L703" s="1186">
        <v>3.3</v>
      </c>
      <c r="M703" s="1186">
        <v>12</v>
      </c>
      <c r="N703" s="1186">
        <v>4.8499999999999996</v>
      </c>
      <c r="O703" s="1186">
        <v>12</v>
      </c>
      <c r="P703" s="1186">
        <v>6.84</v>
      </c>
      <c r="Q703" s="1186">
        <v>14</v>
      </c>
      <c r="R703" s="1186">
        <v>1.92</v>
      </c>
      <c r="S703" s="1186">
        <v>7</v>
      </c>
      <c r="T703" s="1186">
        <v>2.7</v>
      </c>
      <c r="U703" s="1186">
        <v>7</v>
      </c>
      <c r="V703" s="1186">
        <v>3.83</v>
      </c>
      <c r="W703" s="1186"/>
      <c r="X703" s="1186"/>
      <c r="Y703" s="1186"/>
      <c r="Z703" s="1186"/>
      <c r="AA703" s="1186"/>
      <c r="AB703" s="1186"/>
      <c r="AC703" s="1186"/>
      <c r="AD703" s="1187"/>
    </row>
    <row r="704" spans="1:30" x14ac:dyDescent="0.2">
      <c r="A704">
        <f t="shared" si="44"/>
        <v>21</v>
      </c>
      <c r="B704">
        <v>695</v>
      </c>
      <c r="C704" s="1078">
        <v>3</v>
      </c>
      <c r="D704" s="1077" t="s">
        <v>4729</v>
      </c>
      <c r="E704" s="1077" t="s">
        <v>5324</v>
      </c>
      <c r="F704" s="1185">
        <v>4</v>
      </c>
      <c r="G704" s="1186"/>
      <c r="H704" s="1186"/>
      <c r="I704" s="1186"/>
      <c r="J704" s="1186"/>
      <c r="K704" s="1186"/>
      <c r="L704" s="1186"/>
      <c r="M704" s="1186"/>
      <c r="N704" s="1186"/>
      <c r="O704" s="1186"/>
      <c r="P704" s="1186"/>
      <c r="Q704" s="1186"/>
      <c r="R704" s="1186"/>
      <c r="S704" s="1186"/>
      <c r="T704" s="1186"/>
      <c r="U704" s="1186"/>
      <c r="V704" s="1186"/>
      <c r="W704" s="1186">
        <v>12.2</v>
      </c>
      <c r="X704" s="1186">
        <v>4.5999999999999996</v>
      </c>
      <c r="Y704" s="1186">
        <v>11.4</v>
      </c>
      <c r="Z704" s="1186">
        <v>2.9</v>
      </c>
      <c r="AA704" s="1186"/>
      <c r="AB704" s="1186"/>
      <c r="AC704" s="1186"/>
      <c r="AD704" s="1187"/>
    </row>
    <row r="705" spans="1:30" x14ac:dyDescent="0.2">
      <c r="A705">
        <f t="shared" si="44"/>
        <v>21</v>
      </c>
      <c r="B705">
        <v>696</v>
      </c>
      <c r="C705" s="1078">
        <v>3</v>
      </c>
      <c r="D705" s="1077" t="s">
        <v>4729</v>
      </c>
      <c r="E705" s="1077" t="s">
        <v>5325</v>
      </c>
      <c r="F705" s="1185">
        <v>4</v>
      </c>
      <c r="G705" s="1186"/>
      <c r="H705" s="1186"/>
      <c r="I705" s="1186"/>
      <c r="J705" s="1186"/>
      <c r="K705" s="1186"/>
      <c r="L705" s="1186"/>
      <c r="M705" s="1186"/>
      <c r="N705" s="1186"/>
      <c r="O705" s="1186"/>
      <c r="P705" s="1186"/>
      <c r="Q705" s="1186"/>
      <c r="R705" s="1186"/>
      <c r="S705" s="1186"/>
      <c r="T705" s="1186"/>
      <c r="U705" s="1186"/>
      <c r="V705" s="1186"/>
      <c r="W705" s="1186">
        <v>19.2</v>
      </c>
      <c r="X705" s="1186">
        <v>4.5999999999999996</v>
      </c>
      <c r="Y705" s="1186">
        <v>18.2</v>
      </c>
      <c r="Z705" s="1186">
        <v>2.9</v>
      </c>
      <c r="AA705" s="1186"/>
      <c r="AB705" s="1186"/>
      <c r="AC705" s="1186"/>
      <c r="AD705" s="1187"/>
    </row>
    <row r="706" spans="1:30" x14ac:dyDescent="0.2">
      <c r="A706">
        <f t="shared" si="44"/>
        <v>21</v>
      </c>
      <c r="B706">
        <v>697</v>
      </c>
      <c r="C706" s="1078">
        <v>3</v>
      </c>
      <c r="D706" s="1077" t="s">
        <v>4729</v>
      </c>
      <c r="E706" s="1077" t="s">
        <v>5326</v>
      </c>
      <c r="F706" s="1185">
        <v>4</v>
      </c>
      <c r="G706" s="1186"/>
      <c r="H706" s="1186"/>
      <c r="I706" s="1186"/>
      <c r="J706" s="1186"/>
      <c r="K706" s="1186"/>
      <c r="L706" s="1186"/>
      <c r="M706" s="1186"/>
      <c r="N706" s="1186"/>
      <c r="O706" s="1186"/>
      <c r="P706" s="1186"/>
      <c r="Q706" s="1186"/>
      <c r="R706" s="1186"/>
      <c r="S706" s="1186"/>
      <c r="T706" s="1186"/>
      <c r="U706" s="1186"/>
      <c r="V706" s="1186"/>
      <c r="W706" s="1186">
        <v>27.9</v>
      </c>
      <c r="X706" s="1186">
        <v>4.8</v>
      </c>
      <c r="Y706" s="1186">
        <v>26.5</v>
      </c>
      <c r="Z706" s="1186">
        <v>2.9</v>
      </c>
      <c r="AA706" s="1186"/>
      <c r="AB706" s="1186"/>
      <c r="AC706" s="1186"/>
      <c r="AD706" s="1187"/>
    </row>
    <row r="707" spans="1:30" x14ac:dyDescent="0.2">
      <c r="A707">
        <f t="shared" si="44"/>
        <v>21</v>
      </c>
      <c r="B707">
        <v>698</v>
      </c>
      <c r="C707" s="1078">
        <v>4</v>
      </c>
      <c r="D707" s="1077" t="s">
        <v>4729</v>
      </c>
      <c r="E707" s="1077" t="s">
        <v>5324</v>
      </c>
      <c r="F707" s="1185">
        <v>4</v>
      </c>
      <c r="G707" s="1186"/>
      <c r="H707" s="1186"/>
      <c r="I707" s="1186"/>
      <c r="J707" s="1186"/>
      <c r="K707" s="1186"/>
      <c r="L707" s="1186"/>
      <c r="M707" s="1186"/>
      <c r="N707" s="1186"/>
      <c r="O707" s="1186"/>
      <c r="P707" s="1186"/>
      <c r="Q707" s="1186"/>
      <c r="R707" s="1186"/>
      <c r="S707" s="1186"/>
      <c r="T707" s="1186"/>
      <c r="U707" s="1186"/>
      <c r="V707" s="1186"/>
      <c r="W707" s="1186"/>
      <c r="X707" s="1186"/>
      <c r="Y707" s="1186"/>
      <c r="Z707" s="1186"/>
      <c r="AA707" s="1186">
        <v>15.5</v>
      </c>
      <c r="AB707" s="1186">
        <v>4.8</v>
      </c>
      <c r="AC707" s="1186">
        <v>13.9</v>
      </c>
      <c r="AD707" s="1187">
        <v>3.3</v>
      </c>
    </row>
    <row r="708" spans="1:30" x14ac:dyDescent="0.2">
      <c r="A708">
        <f t="shared" si="44"/>
        <v>21</v>
      </c>
      <c r="B708">
        <v>699</v>
      </c>
      <c r="C708" s="1078">
        <v>4</v>
      </c>
      <c r="D708" s="1077" t="s">
        <v>4729</v>
      </c>
      <c r="E708" s="1077" t="s">
        <v>5325</v>
      </c>
      <c r="F708" s="1185">
        <v>4</v>
      </c>
      <c r="G708" s="1186"/>
      <c r="H708" s="1186"/>
      <c r="I708" s="1186"/>
      <c r="J708" s="1186"/>
      <c r="K708" s="1186"/>
      <c r="L708" s="1186"/>
      <c r="M708" s="1186"/>
      <c r="N708" s="1186"/>
      <c r="O708" s="1186"/>
      <c r="P708" s="1186"/>
      <c r="Q708" s="1186"/>
      <c r="R708" s="1186"/>
      <c r="S708" s="1186"/>
      <c r="T708" s="1186"/>
      <c r="U708" s="1186"/>
      <c r="V708" s="1186"/>
      <c r="W708" s="1186"/>
      <c r="X708" s="1186"/>
      <c r="Y708" s="1186"/>
      <c r="Z708" s="1186"/>
      <c r="AA708" s="1186">
        <v>24</v>
      </c>
      <c r="AB708" s="1186">
        <v>4.9000000000000004</v>
      </c>
      <c r="AC708" s="1186">
        <v>22.4</v>
      </c>
      <c r="AD708" s="1187">
        <v>3.4</v>
      </c>
    </row>
    <row r="709" spans="1:30" x14ac:dyDescent="0.2">
      <c r="A709">
        <f t="shared" si="44"/>
        <v>21</v>
      </c>
      <c r="B709">
        <v>700</v>
      </c>
      <c r="C709" s="1078">
        <v>4</v>
      </c>
      <c r="D709" s="1077" t="s">
        <v>4729</v>
      </c>
      <c r="E709" s="1077" t="s">
        <v>5326</v>
      </c>
      <c r="F709" s="1185">
        <v>4</v>
      </c>
      <c r="G709" s="1186"/>
      <c r="H709" s="1186"/>
      <c r="I709" s="1186"/>
      <c r="J709" s="1186"/>
      <c r="K709" s="1186"/>
      <c r="L709" s="1186"/>
      <c r="M709" s="1186"/>
      <c r="N709" s="1186"/>
      <c r="O709" s="1186"/>
      <c r="P709" s="1186"/>
      <c r="Q709" s="1186"/>
      <c r="R709" s="1186"/>
      <c r="S709" s="1186"/>
      <c r="T709" s="1186"/>
      <c r="U709" s="1186"/>
      <c r="V709" s="1186"/>
      <c r="W709" s="1186"/>
      <c r="X709" s="1186"/>
      <c r="Y709" s="1186"/>
      <c r="Z709" s="1186"/>
      <c r="AA709" s="1186">
        <v>35.5</v>
      </c>
      <c r="AB709" s="1186">
        <v>4.7</v>
      </c>
      <c r="AC709" s="1186">
        <v>32.9</v>
      </c>
      <c r="AD709" s="1187">
        <v>3.2</v>
      </c>
    </row>
    <row r="710" spans="1:30" x14ac:dyDescent="0.2">
      <c r="A710">
        <f t="shared" si="44"/>
        <v>21</v>
      </c>
      <c r="B710">
        <v>701</v>
      </c>
      <c r="C710" s="1078">
        <v>3</v>
      </c>
      <c r="D710" s="1077" t="s">
        <v>4729</v>
      </c>
      <c r="E710" s="1077" t="s">
        <v>5189</v>
      </c>
      <c r="F710" s="1185">
        <v>4</v>
      </c>
      <c r="G710" s="1186"/>
      <c r="H710" s="1186"/>
      <c r="I710" s="1186"/>
      <c r="J710" s="1186"/>
      <c r="K710" s="1186"/>
      <c r="L710" s="1186"/>
      <c r="M710" s="1186"/>
      <c r="N710" s="1186"/>
      <c r="O710" s="1186"/>
      <c r="P710" s="1186"/>
      <c r="Q710" s="1186"/>
      <c r="R710" s="1186"/>
      <c r="S710" s="1186"/>
      <c r="T710" s="1186"/>
      <c r="U710" s="1186"/>
      <c r="V710" s="1186"/>
      <c r="W710" s="1186">
        <v>43.1</v>
      </c>
      <c r="X710" s="1186">
        <v>4.5</v>
      </c>
      <c r="Y710" s="1186">
        <v>35.9</v>
      </c>
      <c r="Z710" s="1186">
        <v>2.9</v>
      </c>
      <c r="AA710" s="1186"/>
      <c r="AB710" s="1186"/>
      <c r="AC710" s="1186"/>
      <c r="AD710" s="1187"/>
    </row>
    <row r="711" spans="1:30" x14ac:dyDescent="0.2">
      <c r="A711">
        <f t="shared" si="44"/>
        <v>21</v>
      </c>
      <c r="B711">
        <v>702</v>
      </c>
      <c r="C711" s="1078">
        <v>3</v>
      </c>
      <c r="D711" s="1077" t="s">
        <v>4729</v>
      </c>
      <c r="E711" s="1077" t="s">
        <v>5190</v>
      </c>
      <c r="F711" s="1185">
        <v>4</v>
      </c>
      <c r="G711" s="1186"/>
      <c r="H711" s="1186"/>
      <c r="I711" s="1186"/>
      <c r="J711" s="1186"/>
      <c r="K711" s="1186"/>
      <c r="L711" s="1186"/>
      <c r="M711" s="1186"/>
      <c r="N711" s="1186"/>
      <c r="O711" s="1186"/>
      <c r="P711" s="1186"/>
      <c r="Q711" s="1186"/>
      <c r="R711" s="1186"/>
      <c r="S711" s="1186"/>
      <c r="T711" s="1186"/>
      <c r="U711" s="1186"/>
      <c r="V711" s="1186"/>
      <c r="W711" s="1186">
        <v>51.7</v>
      </c>
      <c r="X711" s="1186">
        <v>4.4000000000000004</v>
      </c>
      <c r="Y711" s="1186">
        <v>44.6</v>
      </c>
      <c r="Z711" s="1186">
        <v>2.8</v>
      </c>
      <c r="AA711" s="1186"/>
      <c r="AB711" s="1186"/>
      <c r="AC711" s="1186"/>
      <c r="AD711" s="1187"/>
    </row>
    <row r="712" spans="1:30" x14ac:dyDescent="0.2">
      <c r="A712">
        <f t="shared" si="44"/>
        <v>21</v>
      </c>
      <c r="B712">
        <v>703</v>
      </c>
      <c r="C712" s="1078">
        <v>3</v>
      </c>
      <c r="D712" s="1077" t="s">
        <v>4729</v>
      </c>
      <c r="E712" s="1077" t="s">
        <v>5191</v>
      </c>
      <c r="F712" s="1185">
        <v>4</v>
      </c>
      <c r="G712" s="1186"/>
      <c r="H712" s="1186"/>
      <c r="I712" s="1186"/>
      <c r="J712" s="1186"/>
      <c r="K712" s="1186"/>
      <c r="L712" s="1186"/>
      <c r="M712" s="1186"/>
      <c r="N712" s="1186"/>
      <c r="O712" s="1186"/>
      <c r="P712" s="1186"/>
      <c r="Q712" s="1186"/>
      <c r="R712" s="1186"/>
      <c r="S712" s="1186"/>
      <c r="T712" s="1186"/>
      <c r="U712" s="1186"/>
      <c r="V712" s="1186"/>
      <c r="W712" s="1186">
        <v>61.3</v>
      </c>
      <c r="X712" s="1186">
        <v>4.5</v>
      </c>
      <c r="Y712" s="1186">
        <v>53</v>
      </c>
      <c r="Z712" s="1186">
        <v>2.8</v>
      </c>
      <c r="AA712" s="1186"/>
      <c r="AB712" s="1186"/>
      <c r="AC712" s="1186"/>
      <c r="AD712" s="1187"/>
    </row>
    <row r="713" spans="1:30" x14ac:dyDescent="0.2">
      <c r="A713">
        <f t="shared" si="44"/>
        <v>21</v>
      </c>
      <c r="B713">
        <v>704</v>
      </c>
      <c r="C713" s="1078">
        <v>3</v>
      </c>
      <c r="D713" s="1077" t="s">
        <v>4729</v>
      </c>
      <c r="E713" s="1077" t="s">
        <v>5192</v>
      </c>
      <c r="F713" s="1185">
        <v>4</v>
      </c>
      <c r="G713" s="1186"/>
      <c r="H713" s="1186"/>
      <c r="I713" s="1186"/>
      <c r="J713" s="1186"/>
      <c r="K713" s="1186"/>
      <c r="L713" s="1186"/>
      <c r="M713" s="1186"/>
      <c r="N713" s="1186"/>
      <c r="O713" s="1186"/>
      <c r="P713" s="1186"/>
      <c r="Q713" s="1186"/>
      <c r="R713" s="1186"/>
      <c r="S713" s="1186"/>
      <c r="T713" s="1186"/>
      <c r="U713" s="1186"/>
      <c r="V713" s="1186"/>
      <c r="W713" s="1186">
        <v>78.8</v>
      </c>
      <c r="X713" s="1186">
        <v>4.3</v>
      </c>
      <c r="Y713" s="1186">
        <v>67.8</v>
      </c>
      <c r="Z713" s="1186">
        <v>2.8</v>
      </c>
      <c r="AA713" s="1186"/>
      <c r="AB713" s="1186"/>
      <c r="AC713" s="1186"/>
      <c r="AD713" s="1187"/>
    </row>
    <row r="714" spans="1:30" x14ac:dyDescent="0.2">
      <c r="A714">
        <f t="shared" si="44"/>
        <v>21</v>
      </c>
      <c r="B714">
        <v>705</v>
      </c>
      <c r="C714" s="1078">
        <v>3</v>
      </c>
      <c r="D714" s="1077" t="s">
        <v>4729</v>
      </c>
      <c r="E714" s="1077" t="s">
        <v>5193</v>
      </c>
      <c r="F714" s="1185">
        <v>4</v>
      </c>
      <c r="G714" s="1186"/>
      <c r="H714" s="1186"/>
      <c r="I714" s="1186"/>
      <c r="J714" s="1186"/>
      <c r="K714" s="1186"/>
      <c r="L714" s="1186"/>
      <c r="M714" s="1186"/>
      <c r="N714" s="1186"/>
      <c r="O714" s="1186"/>
      <c r="P714" s="1186"/>
      <c r="Q714" s="1186"/>
      <c r="R714" s="1186"/>
      <c r="S714" s="1186"/>
      <c r="T714" s="1186"/>
      <c r="U714" s="1186"/>
      <c r="V714" s="1186"/>
      <c r="W714" s="1186">
        <v>100.8</v>
      </c>
      <c r="X714" s="1186">
        <v>4.3</v>
      </c>
      <c r="Y714" s="1186">
        <v>89.6</v>
      </c>
      <c r="Z714" s="1186">
        <v>2.6</v>
      </c>
      <c r="AA714" s="1186"/>
      <c r="AB714" s="1186"/>
      <c r="AC714" s="1186"/>
      <c r="AD714" s="1187"/>
    </row>
    <row r="715" spans="1:30" x14ac:dyDescent="0.2">
      <c r="A715">
        <f t="shared" si="44"/>
        <v>21</v>
      </c>
      <c r="B715">
        <v>706</v>
      </c>
      <c r="C715" s="1078">
        <v>3</v>
      </c>
      <c r="D715" s="1077" t="s">
        <v>4729</v>
      </c>
      <c r="E715" s="1077" t="s">
        <v>5194</v>
      </c>
      <c r="F715" s="1185">
        <v>4</v>
      </c>
      <c r="G715" s="1186"/>
      <c r="H715" s="1186"/>
      <c r="I715" s="1186"/>
      <c r="J715" s="1186"/>
      <c r="K715" s="1186"/>
      <c r="L715" s="1186"/>
      <c r="M715" s="1186"/>
      <c r="N715" s="1186"/>
      <c r="O715" s="1186"/>
      <c r="P715" s="1186"/>
      <c r="Q715" s="1186"/>
      <c r="R715" s="1186"/>
      <c r="S715" s="1186"/>
      <c r="T715" s="1186"/>
      <c r="U715" s="1186"/>
      <c r="V715" s="1186"/>
      <c r="W715" s="1186">
        <v>126.7</v>
      </c>
      <c r="X715" s="1186">
        <v>4.3</v>
      </c>
      <c r="Y715" s="1186">
        <v>111.3</v>
      </c>
      <c r="Z715" s="1186">
        <v>2.7</v>
      </c>
      <c r="AA715" s="1186"/>
      <c r="AB715" s="1186"/>
      <c r="AC715" s="1186"/>
      <c r="AD715" s="1187"/>
    </row>
    <row r="716" spans="1:30" x14ac:dyDescent="0.2">
      <c r="A716">
        <f t="shared" ref="A716:A779" si="45">A715+(D716&lt;&gt;D715)*1</f>
        <v>21</v>
      </c>
      <c r="B716">
        <v>707</v>
      </c>
      <c r="C716" s="1078">
        <v>3</v>
      </c>
      <c r="D716" s="1077" t="s">
        <v>4729</v>
      </c>
      <c r="E716" s="1077" t="s">
        <v>5195</v>
      </c>
      <c r="F716" s="1185">
        <v>4</v>
      </c>
      <c r="G716" s="1186"/>
      <c r="H716" s="1186"/>
      <c r="I716" s="1186"/>
      <c r="J716" s="1186"/>
      <c r="K716" s="1186"/>
      <c r="L716" s="1186"/>
      <c r="M716" s="1186"/>
      <c r="N716" s="1186"/>
      <c r="O716" s="1186"/>
      <c r="P716" s="1186"/>
      <c r="Q716" s="1186"/>
      <c r="R716" s="1186"/>
      <c r="S716" s="1186"/>
      <c r="T716" s="1186"/>
      <c r="U716" s="1186"/>
      <c r="V716" s="1186"/>
      <c r="W716" s="1186">
        <v>149.30000000000001</v>
      </c>
      <c r="X716" s="1186">
        <v>4.4000000000000004</v>
      </c>
      <c r="Y716" s="1186">
        <v>130.69999999999999</v>
      </c>
      <c r="Z716" s="1186">
        <v>2.7</v>
      </c>
      <c r="AA716" s="1186"/>
      <c r="AB716" s="1186"/>
      <c r="AC716" s="1186"/>
      <c r="AD716" s="1187"/>
    </row>
    <row r="717" spans="1:30" x14ac:dyDescent="0.2">
      <c r="A717">
        <f t="shared" si="45"/>
        <v>21</v>
      </c>
      <c r="B717">
        <v>708</v>
      </c>
      <c r="C717" s="1078">
        <v>4</v>
      </c>
      <c r="D717" s="1077" t="s">
        <v>4729</v>
      </c>
      <c r="E717" s="1077" t="s">
        <v>5189</v>
      </c>
      <c r="F717" s="1185">
        <v>4</v>
      </c>
      <c r="G717" s="1186"/>
      <c r="H717" s="1186"/>
      <c r="I717" s="1186"/>
      <c r="J717" s="1186"/>
      <c r="K717" s="1186"/>
      <c r="L717" s="1186"/>
      <c r="M717" s="1186"/>
      <c r="N717" s="1186"/>
      <c r="O717" s="1186"/>
      <c r="P717" s="1186"/>
      <c r="Q717" s="1186"/>
      <c r="R717" s="1186"/>
      <c r="S717" s="1186"/>
      <c r="T717" s="1186"/>
      <c r="U717" s="1186"/>
      <c r="V717" s="1186"/>
      <c r="W717" s="1186"/>
      <c r="X717" s="1186"/>
      <c r="Y717" s="1186"/>
      <c r="Z717" s="1186"/>
      <c r="AA717" s="1186">
        <v>55.9</v>
      </c>
      <c r="AB717" s="1186">
        <v>5.2</v>
      </c>
      <c r="AC717" s="1186">
        <v>44.5</v>
      </c>
      <c r="AD717" s="1187">
        <v>3.5</v>
      </c>
    </row>
    <row r="718" spans="1:30" x14ac:dyDescent="0.2">
      <c r="A718">
        <f t="shared" si="45"/>
        <v>21</v>
      </c>
      <c r="B718">
        <v>709</v>
      </c>
      <c r="C718" s="1078">
        <v>4</v>
      </c>
      <c r="D718" s="1077" t="s">
        <v>4729</v>
      </c>
      <c r="E718" s="1077" t="s">
        <v>5190</v>
      </c>
      <c r="F718" s="1185">
        <v>4</v>
      </c>
      <c r="G718" s="1186"/>
      <c r="H718" s="1186"/>
      <c r="I718" s="1186"/>
      <c r="J718" s="1186"/>
      <c r="K718" s="1186"/>
      <c r="L718" s="1186"/>
      <c r="M718" s="1186"/>
      <c r="N718" s="1186"/>
      <c r="O718" s="1186"/>
      <c r="P718" s="1186"/>
      <c r="Q718" s="1186"/>
      <c r="R718" s="1186"/>
      <c r="S718" s="1186"/>
      <c r="T718" s="1186"/>
      <c r="U718" s="1186"/>
      <c r="V718" s="1186"/>
      <c r="W718" s="1186"/>
      <c r="X718" s="1186"/>
      <c r="Y718" s="1186"/>
      <c r="Z718" s="1186"/>
      <c r="AA718" s="1186">
        <v>67</v>
      </c>
      <c r="AB718" s="1186">
        <v>5.3</v>
      </c>
      <c r="AC718" s="1186">
        <v>53.8</v>
      </c>
      <c r="AD718" s="1187">
        <v>3.5</v>
      </c>
    </row>
    <row r="719" spans="1:30" x14ac:dyDescent="0.2">
      <c r="A719">
        <f t="shared" si="45"/>
        <v>21</v>
      </c>
      <c r="B719">
        <v>710</v>
      </c>
      <c r="C719" s="1078">
        <v>4</v>
      </c>
      <c r="D719" s="1077" t="s">
        <v>4729</v>
      </c>
      <c r="E719" s="1077" t="s">
        <v>5191</v>
      </c>
      <c r="F719" s="1185">
        <v>4</v>
      </c>
      <c r="G719" s="1186"/>
      <c r="H719" s="1186"/>
      <c r="I719" s="1186"/>
      <c r="J719" s="1186"/>
      <c r="K719" s="1186"/>
      <c r="L719" s="1186"/>
      <c r="M719" s="1186"/>
      <c r="N719" s="1186"/>
      <c r="O719" s="1186"/>
      <c r="P719" s="1186"/>
      <c r="Q719" s="1186"/>
      <c r="R719" s="1186"/>
      <c r="S719" s="1186"/>
      <c r="T719" s="1186"/>
      <c r="U719" s="1186"/>
      <c r="V719" s="1186"/>
      <c r="W719" s="1186"/>
      <c r="X719" s="1186"/>
      <c r="Y719" s="1186"/>
      <c r="Z719" s="1186"/>
      <c r="AA719" s="1186">
        <v>79.5</v>
      </c>
      <c r="AB719" s="1186">
        <v>5.0999999999999996</v>
      </c>
      <c r="AC719" s="1186">
        <v>63.8</v>
      </c>
      <c r="AD719" s="1187">
        <v>3.4</v>
      </c>
    </row>
    <row r="720" spans="1:30" x14ac:dyDescent="0.2">
      <c r="A720">
        <f t="shared" si="45"/>
        <v>21</v>
      </c>
      <c r="B720">
        <v>711</v>
      </c>
      <c r="C720" s="1078">
        <v>4</v>
      </c>
      <c r="D720" s="1077" t="s">
        <v>4729</v>
      </c>
      <c r="E720" s="1077" t="s">
        <v>5192</v>
      </c>
      <c r="F720" s="1185">
        <v>4</v>
      </c>
      <c r="G720" s="1186"/>
      <c r="H720" s="1186"/>
      <c r="I720" s="1186"/>
      <c r="J720" s="1186"/>
      <c r="K720" s="1186"/>
      <c r="L720" s="1186"/>
      <c r="M720" s="1186"/>
      <c r="N720" s="1186"/>
      <c r="O720" s="1186"/>
      <c r="P720" s="1186"/>
      <c r="Q720" s="1186"/>
      <c r="R720" s="1186"/>
      <c r="S720" s="1186"/>
      <c r="T720" s="1186"/>
      <c r="U720" s="1186"/>
      <c r="V720" s="1186"/>
      <c r="W720" s="1186"/>
      <c r="X720" s="1186"/>
      <c r="Y720" s="1186"/>
      <c r="Z720" s="1186"/>
      <c r="AA720" s="1186">
        <v>101.8</v>
      </c>
      <c r="AB720" s="1186">
        <v>5.0999999999999996</v>
      </c>
      <c r="AC720" s="1186">
        <v>85.2</v>
      </c>
      <c r="AD720" s="1187">
        <v>3.4</v>
      </c>
    </row>
    <row r="721" spans="1:30" x14ac:dyDescent="0.2">
      <c r="A721">
        <f t="shared" si="45"/>
        <v>21</v>
      </c>
      <c r="B721">
        <v>712</v>
      </c>
      <c r="C721" s="1078">
        <v>4</v>
      </c>
      <c r="D721" s="1077" t="s">
        <v>4729</v>
      </c>
      <c r="E721" s="1077" t="s">
        <v>5193</v>
      </c>
      <c r="F721" s="1185">
        <v>4</v>
      </c>
      <c r="G721" s="1186"/>
      <c r="H721" s="1186"/>
      <c r="I721" s="1186"/>
      <c r="J721" s="1186"/>
      <c r="K721" s="1186"/>
      <c r="L721" s="1186"/>
      <c r="M721" s="1186"/>
      <c r="N721" s="1186"/>
      <c r="O721" s="1186"/>
      <c r="P721" s="1186"/>
      <c r="Q721" s="1186"/>
      <c r="R721" s="1186"/>
      <c r="S721" s="1186"/>
      <c r="T721" s="1186"/>
      <c r="U721" s="1186"/>
      <c r="V721" s="1186"/>
      <c r="W721" s="1186"/>
      <c r="X721" s="1186"/>
      <c r="Y721" s="1186"/>
      <c r="Z721" s="1186"/>
      <c r="AA721" s="1186">
        <v>133.19999999999999</v>
      </c>
      <c r="AB721" s="1186">
        <v>5.2</v>
      </c>
      <c r="AC721" s="1186">
        <v>113.6</v>
      </c>
      <c r="AD721" s="1187">
        <v>3.3</v>
      </c>
    </row>
    <row r="722" spans="1:30" x14ac:dyDescent="0.2">
      <c r="A722">
        <f t="shared" si="45"/>
        <v>21</v>
      </c>
      <c r="B722">
        <v>713</v>
      </c>
      <c r="C722" s="1078">
        <v>4</v>
      </c>
      <c r="D722" s="1077" t="s">
        <v>4729</v>
      </c>
      <c r="E722" s="1077" t="s">
        <v>5194</v>
      </c>
      <c r="F722" s="1185">
        <v>4</v>
      </c>
      <c r="G722" s="1186"/>
      <c r="H722" s="1186"/>
      <c r="I722" s="1186"/>
      <c r="J722" s="1186"/>
      <c r="K722" s="1186"/>
      <c r="L722" s="1186"/>
      <c r="M722" s="1186"/>
      <c r="N722" s="1186"/>
      <c r="O722" s="1186"/>
      <c r="P722" s="1186"/>
      <c r="Q722" s="1186"/>
      <c r="R722" s="1186"/>
      <c r="S722" s="1186"/>
      <c r="T722" s="1186"/>
      <c r="U722" s="1186"/>
      <c r="V722" s="1186"/>
      <c r="W722" s="1186"/>
      <c r="X722" s="1186"/>
      <c r="Y722" s="1186"/>
      <c r="Z722" s="1186"/>
      <c r="AA722" s="1186">
        <v>167.2</v>
      </c>
      <c r="AB722" s="1186">
        <v>4.9000000000000004</v>
      </c>
      <c r="AC722" s="1186">
        <v>135.6</v>
      </c>
      <c r="AD722" s="1187">
        <v>3.2</v>
      </c>
    </row>
    <row r="723" spans="1:30" x14ac:dyDescent="0.2">
      <c r="A723">
        <f t="shared" si="45"/>
        <v>21</v>
      </c>
      <c r="B723">
        <v>714</v>
      </c>
      <c r="C723" s="1078">
        <v>4</v>
      </c>
      <c r="D723" s="1077" t="s">
        <v>4729</v>
      </c>
      <c r="E723" s="1077" t="s">
        <v>5195</v>
      </c>
      <c r="F723" s="1185">
        <v>4</v>
      </c>
      <c r="G723" s="1186"/>
      <c r="H723" s="1186"/>
      <c r="I723" s="1186"/>
      <c r="J723" s="1186"/>
      <c r="K723" s="1186"/>
      <c r="L723" s="1186"/>
      <c r="M723" s="1186"/>
      <c r="N723" s="1186"/>
      <c r="O723" s="1186"/>
      <c r="P723" s="1186"/>
      <c r="Q723" s="1186"/>
      <c r="R723" s="1186"/>
      <c r="S723" s="1186"/>
      <c r="T723" s="1186"/>
      <c r="U723" s="1186"/>
      <c r="V723" s="1186"/>
      <c r="W723" s="1186"/>
      <c r="X723" s="1186"/>
      <c r="Y723" s="1186"/>
      <c r="Z723" s="1186"/>
      <c r="AA723" s="1186">
        <v>200.4</v>
      </c>
      <c r="AB723" s="1186">
        <v>4.5</v>
      </c>
      <c r="AC723" s="1186">
        <v>166</v>
      </c>
      <c r="AD723" s="1187">
        <v>3.3</v>
      </c>
    </row>
    <row r="724" spans="1:30" x14ac:dyDescent="0.2">
      <c r="A724">
        <f t="shared" si="45"/>
        <v>21</v>
      </c>
      <c r="B724">
        <v>715</v>
      </c>
      <c r="C724" s="1078">
        <v>3</v>
      </c>
      <c r="D724" s="1077" t="s">
        <v>4729</v>
      </c>
      <c r="E724" s="1077" t="s">
        <v>5196</v>
      </c>
      <c r="F724" s="1185">
        <v>4</v>
      </c>
      <c r="G724" s="1186"/>
      <c r="H724" s="1186"/>
      <c r="I724" s="1186"/>
      <c r="J724" s="1186"/>
      <c r="K724" s="1186"/>
      <c r="L724" s="1186"/>
      <c r="M724" s="1186"/>
      <c r="N724" s="1186"/>
      <c r="O724" s="1186"/>
      <c r="P724" s="1186"/>
      <c r="Q724" s="1186"/>
      <c r="R724" s="1186"/>
      <c r="S724" s="1186"/>
      <c r="T724" s="1186"/>
      <c r="U724" s="1186"/>
      <c r="V724" s="1186"/>
      <c r="W724" s="1186">
        <v>22.7</v>
      </c>
      <c r="X724" s="1186">
        <v>3.9</v>
      </c>
      <c r="Y724" s="1186">
        <v>19.100000000000001</v>
      </c>
      <c r="Z724" s="1186">
        <v>2.9</v>
      </c>
      <c r="AA724" s="1186"/>
      <c r="AB724" s="1186"/>
      <c r="AC724" s="1186"/>
      <c r="AD724" s="1187"/>
    </row>
    <row r="725" spans="1:30" x14ac:dyDescent="0.2">
      <c r="A725">
        <f t="shared" si="45"/>
        <v>21</v>
      </c>
      <c r="B725">
        <v>716</v>
      </c>
      <c r="C725" s="1078">
        <v>3</v>
      </c>
      <c r="D725" s="1077" t="s">
        <v>4729</v>
      </c>
      <c r="E725" s="1077" t="s">
        <v>5197</v>
      </c>
      <c r="F725" s="1185">
        <v>4</v>
      </c>
      <c r="G725" s="1186"/>
      <c r="H725" s="1186"/>
      <c r="I725" s="1186"/>
      <c r="J725" s="1186"/>
      <c r="K725" s="1186"/>
      <c r="L725" s="1186"/>
      <c r="M725" s="1186"/>
      <c r="N725" s="1186"/>
      <c r="O725" s="1186"/>
      <c r="P725" s="1186"/>
      <c r="Q725" s="1186"/>
      <c r="R725" s="1186"/>
      <c r="S725" s="1186"/>
      <c r="T725" s="1186"/>
      <c r="U725" s="1186"/>
      <c r="V725" s="1186"/>
      <c r="W725" s="1186">
        <v>34.4</v>
      </c>
      <c r="X725" s="1186">
        <v>4.2</v>
      </c>
      <c r="Y725" s="1186">
        <v>29.5</v>
      </c>
      <c r="Z725" s="1186">
        <v>3</v>
      </c>
      <c r="AA725" s="1186"/>
      <c r="AB725" s="1186"/>
      <c r="AC725" s="1186"/>
      <c r="AD725" s="1187"/>
    </row>
    <row r="726" spans="1:30" x14ac:dyDescent="0.2">
      <c r="A726">
        <f t="shared" si="45"/>
        <v>21</v>
      </c>
      <c r="B726">
        <v>717</v>
      </c>
      <c r="C726" s="1078">
        <v>3</v>
      </c>
      <c r="D726" s="1077" t="s">
        <v>4729</v>
      </c>
      <c r="E726" s="1077" t="s">
        <v>5198</v>
      </c>
      <c r="F726" s="1185">
        <v>4</v>
      </c>
      <c r="G726" s="1186"/>
      <c r="H726" s="1186"/>
      <c r="I726" s="1186"/>
      <c r="J726" s="1186"/>
      <c r="K726" s="1186"/>
      <c r="L726" s="1186"/>
      <c r="M726" s="1186"/>
      <c r="N726" s="1186"/>
      <c r="O726" s="1186"/>
      <c r="P726" s="1186"/>
      <c r="Q726" s="1186"/>
      <c r="R726" s="1186"/>
      <c r="S726" s="1186"/>
      <c r="T726" s="1186"/>
      <c r="U726" s="1186"/>
      <c r="V726" s="1186"/>
      <c r="W726" s="1186">
        <v>46.7</v>
      </c>
      <c r="X726" s="1186">
        <v>4.3</v>
      </c>
      <c r="Y726" s="1186">
        <v>39.9</v>
      </c>
      <c r="Z726" s="1186">
        <v>3</v>
      </c>
      <c r="AA726" s="1186"/>
      <c r="AB726" s="1186"/>
      <c r="AC726" s="1186"/>
      <c r="AD726" s="1187"/>
    </row>
    <row r="727" spans="1:30" x14ac:dyDescent="0.2">
      <c r="A727">
        <f t="shared" si="45"/>
        <v>21</v>
      </c>
      <c r="B727">
        <v>718</v>
      </c>
      <c r="C727" s="1078">
        <v>3</v>
      </c>
      <c r="D727" s="1077" t="s">
        <v>4729</v>
      </c>
      <c r="E727" s="1077" t="s">
        <v>5199</v>
      </c>
      <c r="F727" s="1185">
        <v>4</v>
      </c>
      <c r="G727" s="1186"/>
      <c r="H727" s="1186"/>
      <c r="I727" s="1186"/>
      <c r="J727" s="1186"/>
      <c r="K727" s="1186"/>
      <c r="L727" s="1186"/>
      <c r="M727" s="1186"/>
      <c r="N727" s="1186"/>
      <c r="O727" s="1186"/>
      <c r="P727" s="1186"/>
      <c r="Q727" s="1186"/>
      <c r="R727" s="1186"/>
      <c r="S727" s="1186"/>
      <c r="T727" s="1186"/>
      <c r="U727" s="1186"/>
      <c r="V727" s="1186"/>
      <c r="W727" s="1186">
        <v>62.1</v>
      </c>
      <c r="X727" s="1186">
        <v>4.3</v>
      </c>
      <c r="Y727" s="1186">
        <v>52.2</v>
      </c>
      <c r="Z727" s="1186">
        <v>3.1</v>
      </c>
      <c r="AA727" s="1186"/>
      <c r="AB727" s="1186"/>
      <c r="AC727" s="1186"/>
      <c r="AD727" s="1187"/>
    </row>
    <row r="728" spans="1:30" x14ac:dyDescent="0.2">
      <c r="A728">
        <f t="shared" si="45"/>
        <v>21</v>
      </c>
      <c r="B728">
        <v>719</v>
      </c>
      <c r="C728" s="1078">
        <v>3</v>
      </c>
      <c r="D728" s="1077" t="s">
        <v>4729</v>
      </c>
      <c r="E728" s="1077" t="s">
        <v>5200</v>
      </c>
      <c r="F728" s="1185">
        <v>4</v>
      </c>
      <c r="G728" s="1186"/>
      <c r="H728" s="1186"/>
      <c r="I728" s="1186"/>
      <c r="J728" s="1186"/>
      <c r="K728" s="1186"/>
      <c r="L728" s="1186"/>
      <c r="M728" s="1186"/>
      <c r="N728" s="1186"/>
      <c r="O728" s="1186"/>
      <c r="P728" s="1186"/>
      <c r="Q728" s="1186"/>
      <c r="R728" s="1186"/>
      <c r="S728" s="1186"/>
      <c r="T728" s="1186"/>
      <c r="U728" s="1186"/>
      <c r="V728" s="1186"/>
      <c r="W728" s="1186">
        <v>82.5</v>
      </c>
      <c r="X728" s="1186">
        <v>4.2</v>
      </c>
      <c r="Y728" s="1186">
        <v>69</v>
      </c>
      <c r="Z728" s="1186">
        <v>3</v>
      </c>
      <c r="AA728" s="1186"/>
      <c r="AB728" s="1186"/>
      <c r="AC728" s="1186"/>
      <c r="AD728" s="1187"/>
    </row>
    <row r="729" spans="1:30" x14ac:dyDescent="0.2">
      <c r="A729">
        <f t="shared" si="45"/>
        <v>21</v>
      </c>
      <c r="B729">
        <v>720</v>
      </c>
      <c r="C729" s="1078">
        <v>3</v>
      </c>
      <c r="D729" s="1077" t="s">
        <v>4729</v>
      </c>
      <c r="E729" s="1077" t="s">
        <v>5201</v>
      </c>
      <c r="F729" s="1185">
        <v>4</v>
      </c>
      <c r="G729" s="1186"/>
      <c r="H729" s="1186"/>
      <c r="I729" s="1186"/>
      <c r="J729" s="1186"/>
      <c r="K729" s="1186"/>
      <c r="L729" s="1186"/>
      <c r="M729" s="1186"/>
      <c r="N729" s="1186"/>
      <c r="O729" s="1186"/>
      <c r="P729" s="1186"/>
      <c r="Q729" s="1186"/>
      <c r="R729" s="1186"/>
      <c r="S729" s="1186"/>
      <c r="T729" s="1186"/>
      <c r="U729" s="1186"/>
      <c r="V729" s="1186"/>
      <c r="W729" s="1186">
        <v>96.4</v>
      </c>
      <c r="X729" s="1186">
        <v>4.2</v>
      </c>
      <c r="Y729" s="1186">
        <v>81.099999999999994</v>
      </c>
      <c r="Z729" s="1186">
        <v>3.1</v>
      </c>
      <c r="AA729" s="1186"/>
      <c r="AB729" s="1186"/>
      <c r="AC729" s="1186"/>
      <c r="AD729" s="1187"/>
    </row>
    <row r="730" spans="1:30" x14ac:dyDescent="0.2">
      <c r="A730">
        <f t="shared" si="45"/>
        <v>21</v>
      </c>
      <c r="B730">
        <v>721</v>
      </c>
      <c r="C730" s="1078">
        <v>3</v>
      </c>
      <c r="D730" s="1077" t="s">
        <v>4729</v>
      </c>
      <c r="E730" s="1077" t="s">
        <v>5202</v>
      </c>
      <c r="F730" s="1185">
        <v>4</v>
      </c>
      <c r="G730" s="1186"/>
      <c r="H730" s="1186"/>
      <c r="I730" s="1186"/>
      <c r="J730" s="1186"/>
      <c r="K730" s="1186"/>
      <c r="L730" s="1186"/>
      <c r="M730" s="1186"/>
      <c r="N730" s="1186"/>
      <c r="O730" s="1186"/>
      <c r="P730" s="1186"/>
      <c r="Q730" s="1186"/>
      <c r="R730" s="1186"/>
      <c r="S730" s="1186"/>
      <c r="T730" s="1186"/>
      <c r="U730" s="1186"/>
      <c r="V730" s="1186"/>
      <c r="W730" s="1186">
        <v>112.4</v>
      </c>
      <c r="X730" s="1186">
        <v>4.2</v>
      </c>
      <c r="Y730" s="1186">
        <v>93.9</v>
      </c>
      <c r="Z730" s="1186">
        <v>3</v>
      </c>
      <c r="AA730" s="1186"/>
      <c r="AB730" s="1186"/>
      <c r="AC730" s="1186"/>
      <c r="AD730" s="1187"/>
    </row>
    <row r="731" spans="1:30" x14ac:dyDescent="0.2">
      <c r="A731">
        <f t="shared" si="45"/>
        <v>21</v>
      </c>
      <c r="B731">
        <v>722</v>
      </c>
      <c r="C731" s="1078">
        <v>3</v>
      </c>
      <c r="D731" s="1077" t="s">
        <v>4729</v>
      </c>
      <c r="E731" s="1077" t="s">
        <v>5203</v>
      </c>
      <c r="F731" s="1185">
        <v>4</v>
      </c>
      <c r="G731" s="1186"/>
      <c r="H731" s="1186"/>
      <c r="I731" s="1186"/>
      <c r="J731" s="1186"/>
      <c r="K731" s="1186"/>
      <c r="L731" s="1186"/>
      <c r="M731" s="1186"/>
      <c r="N731" s="1186"/>
      <c r="O731" s="1186"/>
      <c r="P731" s="1186"/>
      <c r="Q731" s="1186"/>
      <c r="R731" s="1186"/>
      <c r="S731" s="1186"/>
      <c r="T731" s="1186"/>
      <c r="U731" s="1186"/>
      <c r="V731" s="1186"/>
      <c r="W731" s="1186">
        <v>135</v>
      </c>
      <c r="X731" s="1186">
        <v>4.0999999999999996</v>
      </c>
      <c r="Y731" s="1186">
        <v>113.1</v>
      </c>
      <c r="Z731" s="1186">
        <v>3</v>
      </c>
      <c r="AA731" s="1186"/>
      <c r="AB731" s="1186"/>
      <c r="AC731" s="1186"/>
      <c r="AD731" s="1187"/>
    </row>
    <row r="732" spans="1:30" x14ac:dyDescent="0.2">
      <c r="A732">
        <f t="shared" si="45"/>
        <v>21</v>
      </c>
      <c r="B732">
        <v>723</v>
      </c>
      <c r="C732" s="1078">
        <v>3</v>
      </c>
      <c r="D732" s="1077" t="s">
        <v>4729</v>
      </c>
      <c r="E732" s="1077" t="s">
        <v>5204</v>
      </c>
      <c r="F732" s="1185">
        <v>4</v>
      </c>
      <c r="G732" s="1186"/>
      <c r="H732" s="1186"/>
      <c r="I732" s="1186"/>
      <c r="J732" s="1186"/>
      <c r="K732" s="1186"/>
      <c r="L732" s="1186"/>
      <c r="M732" s="1186"/>
      <c r="N732" s="1186"/>
      <c r="O732" s="1186"/>
      <c r="P732" s="1186"/>
      <c r="Q732" s="1186"/>
      <c r="R732" s="1186"/>
      <c r="S732" s="1186"/>
      <c r="T732" s="1186"/>
      <c r="U732" s="1186"/>
      <c r="V732" s="1186"/>
      <c r="W732" s="1186">
        <v>151.9</v>
      </c>
      <c r="X732" s="1186">
        <v>4.2</v>
      </c>
      <c r="Y732" s="1186">
        <v>127.4</v>
      </c>
      <c r="Z732" s="1186">
        <v>3</v>
      </c>
      <c r="AA732" s="1186"/>
      <c r="AB732" s="1186"/>
      <c r="AC732" s="1186"/>
      <c r="AD732" s="1187"/>
    </row>
    <row r="733" spans="1:30" x14ac:dyDescent="0.2">
      <c r="A733">
        <f t="shared" si="45"/>
        <v>21</v>
      </c>
      <c r="B733">
        <v>724</v>
      </c>
      <c r="C733" s="1078">
        <v>3</v>
      </c>
      <c r="D733" s="1077" t="s">
        <v>4729</v>
      </c>
      <c r="E733" s="1077" t="s">
        <v>5205</v>
      </c>
      <c r="F733" s="1185">
        <v>4</v>
      </c>
      <c r="G733" s="1186"/>
      <c r="H733" s="1186"/>
      <c r="I733" s="1186"/>
      <c r="J733" s="1186"/>
      <c r="K733" s="1186"/>
      <c r="L733" s="1186"/>
      <c r="M733" s="1186"/>
      <c r="N733" s="1186"/>
      <c r="O733" s="1186"/>
      <c r="P733" s="1186"/>
      <c r="Q733" s="1186"/>
      <c r="R733" s="1186"/>
      <c r="S733" s="1186"/>
      <c r="T733" s="1186"/>
      <c r="U733" s="1186"/>
      <c r="V733" s="1186"/>
      <c r="W733" s="1186">
        <v>177</v>
      </c>
      <c r="X733" s="1186">
        <v>4.0999999999999996</v>
      </c>
      <c r="Y733" s="1186">
        <v>148.4</v>
      </c>
      <c r="Z733" s="1186">
        <v>3</v>
      </c>
      <c r="AA733" s="1186"/>
      <c r="AB733" s="1186"/>
      <c r="AC733" s="1186"/>
      <c r="AD733" s="1187"/>
    </row>
    <row r="734" spans="1:30" x14ac:dyDescent="0.2">
      <c r="A734">
        <f t="shared" si="45"/>
        <v>21</v>
      </c>
      <c r="B734">
        <v>725</v>
      </c>
      <c r="C734" s="1078">
        <v>4</v>
      </c>
      <c r="D734" s="1077" t="s">
        <v>4729</v>
      </c>
      <c r="E734" s="1077" t="s">
        <v>5196</v>
      </c>
      <c r="F734" s="1185">
        <v>4</v>
      </c>
      <c r="G734" s="1186"/>
      <c r="H734" s="1186"/>
      <c r="I734" s="1186"/>
      <c r="J734" s="1186"/>
      <c r="K734" s="1186"/>
      <c r="L734" s="1186"/>
      <c r="M734" s="1186"/>
      <c r="N734" s="1186"/>
      <c r="O734" s="1186"/>
      <c r="P734" s="1186"/>
      <c r="Q734" s="1186"/>
      <c r="R734" s="1186"/>
      <c r="S734" s="1186"/>
      <c r="T734" s="1186"/>
      <c r="U734" s="1186"/>
      <c r="V734" s="1186"/>
      <c r="W734" s="1186"/>
      <c r="X734" s="1186"/>
      <c r="Y734" s="1186"/>
      <c r="Z734" s="1186"/>
      <c r="AA734" s="1186">
        <v>30.7</v>
      </c>
      <c r="AB734" s="1186">
        <v>4.8</v>
      </c>
      <c r="AC734" s="1186">
        <v>26.8</v>
      </c>
      <c r="AD734" s="1187">
        <v>3.4</v>
      </c>
    </row>
    <row r="735" spans="1:30" x14ac:dyDescent="0.2">
      <c r="A735">
        <f t="shared" si="45"/>
        <v>21</v>
      </c>
      <c r="B735">
        <v>726</v>
      </c>
      <c r="C735" s="1078">
        <v>4</v>
      </c>
      <c r="D735" s="1077" t="s">
        <v>4729</v>
      </c>
      <c r="E735" s="1077" t="s">
        <v>5197</v>
      </c>
      <c r="F735" s="1185">
        <v>4</v>
      </c>
      <c r="G735" s="1186"/>
      <c r="H735" s="1186"/>
      <c r="I735" s="1186"/>
      <c r="J735" s="1186"/>
      <c r="K735" s="1186"/>
      <c r="L735" s="1186"/>
      <c r="M735" s="1186"/>
      <c r="N735" s="1186"/>
      <c r="O735" s="1186"/>
      <c r="P735" s="1186"/>
      <c r="Q735" s="1186"/>
      <c r="R735" s="1186"/>
      <c r="S735" s="1186"/>
      <c r="T735" s="1186"/>
      <c r="U735" s="1186"/>
      <c r="V735" s="1186"/>
      <c r="W735" s="1186"/>
      <c r="X735" s="1186"/>
      <c r="Y735" s="1186"/>
      <c r="Z735" s="1186"/>
      <c r="AA735" s="1186">
        <v>45.5</v>
      </c>
      <c r="AB735" s="1186">
        <v>5.0999999999999996</v>
      </c>
      <c r="AC735" s="1186">
        <v>40.200000000000003</v>
      </c>
      <c r="AD735" s="1187">
        <v>3.6</v>
      </c>
    </row>
    <row r="736" spans="1:30" x14ac:dyDescent="0.2">
      <c r="A736">
        <f t="shared" si="45"/>
        <v>21</v>
      </c>
      <c r="B736">
        <v>727</v>
      </c>
      <c r="C736" s="1078">
        <v>4</v>
      </c>
      <c r="D736" s="1077" t="s">
        <v>4729</v>
      </c>
      <c r="E736" s="1077" t="s">
        <v>5198</v>
      </c>
      <c r="F736" s="1185">
        <v>4</v>
      </c>
      <c r="G736" s="1186"/>
      <c r="H736" s="1186"/>
      <c r="I736" s="1186"/>
      <c r="J736" s="1186"/>
      <c r="K736" s="1186"/>
      <c r="L736" s="1186"/>
      <c r="M736" s="1186"/>
      <c r="N736" s="1186"/>
      <c r="O736" s="1186"/>
      <c r="P736" s="1186"/>
      <c r="Q736" s="1186"/>
      <c r="R736" s="1186"/>
      <c r="S736" s="1186"/>
      <c r="T736" s="1186"/>
      <c r="U736" s="1186"/>
      <c r="V736" s="1186"/>
      <c r="W736" s="1186"/>
      <c r="X736" s="1186"/>
      <c r="Y736" s="1186"/>
      <c r="Z736" s="1186"/>
      <c r="AA736" s="1186">
        <v>65.5</v>
      </c>
      <c r="AB736" s="1186">
        <v>5</v>
      </c>
      <c r="AC736" s="1186">
        <v>56.7</v>
      </c>
      <c r="AD736" s="1187">
        <v>3.6</v>
      </c>
    </row>
    <row r="737" spans="1:30" x14ac:dyDescent="0.2">
      <c r="A737">
        <f t="shared" si="45"/>
        <v>21</v>
      </c>
      <c r="B737">
        <v>728</v>
      </c>
      <c r="C737" s="1078">
        <v>4</v>
      </c>
      <c r="D737" s="1077" t="s">
        <v>4729</v>
      </c>
      <c r="E737" s="1077" t="s">
        <v>5199</v>
      </c>
      <c r="F737" s="1185">
        <v>4</v>
      </c>
      <c r="G737" s="1186"/>
      <c r="H737" s="1186"/>
      <c r="I737" s="1186"/>
      <c r="J737" s="1186"/>
      <c r="K737" s="1186"/>
      <c r="L737" s="1186"/>
      <c r="M737" s="1186"/>
      <c r="N737" s="1186"/>
      <c r="O737" s="1186"/>
      <c r="P737" s="1186"/>
      <c r="Q737" s="1186"/>
      <c r="R737" s="1186"/>
      <c r="S737" s="1186"/>
      <c r="T737" s="1186"/>
      <c r="U737" s="1186"/>
      <c r="V737" s="1186"/>
      <c r="W737" s="1186"/>
      <c r="X737" s="1186"/>
      <c r="Y737" s="1186"/>
      <c r="Z737" s="1186"/>
      <c r="AA737" s="1186">
        <v>78.400000000000006</v>
      </c>
      <c r="AB737" s="1186">
        <v>4.9000000000000004</v>
      </c>
      <c r="AC737" s="1186">
        <v>68.900000000000006</v>
      </c>
      <c r="AD737" s="1187">
        <v>3.5</v>
      </c>
    </row>
    <row r="738" spans="1:30" x14ac:dyDescent="0.2">
      <c r="A738">
        <f t="shared" si="45"/>
        <v>21</v>
      </c>
      <c r="B738">
        <v>729</v>
      </c>
      <c r="C738" s="1078">
        <v>4</v>
      </c>
      <c r="D738" s="1077" t="s">
        <v>4729</v>
      </c>
      <c r="E738" s="1077" t="s">
        <v>5200</v>
      </c>
      <c r="F738" s="1185">
        <v>4</v>
      </c>
      <c r="G738" s="1186"/>
      <c r="H738" s="1186"/>
      <c r="I738" s="1186"/>
      <c r="J738" s="1186"/>
      <c r="K738" s="1186"/>
      <c r="L738" s="1186"/>
      <c r="M738" s="1186"/>
      <c r="N738" s="1186"/>
      <c r="O738" s="1186"/>
      <c r="P738" s="1186"/>
      <c r="Q738" s="1186"/>
      <c r="R738" s="1186"/>
      <c r="S738" s="1186"/>
      <c r="T738" s="1186"/>
      <c r="U738" s="1186"/>
      <c r="V738" s="1186"/>
      <c r="W738" s="1186"/>
      <c r="X738" s="1186"/>
      <c r="Y738" s="1186"/>
      <c r="Z738" s="1186"/>
      <c r="AA738" s="1186">
        <v>104.4</v>
      </c>
      <c r="AB738" s="1186">
        <v>4.5999999999999996</v>
      </c>
      <c r="AC738" s="1186">
        <v>91.5</v>
      </c>
      <c r="AD738" s="1187">
        <v>3.3</v>
      </c>
    </row>
    <row r="739" spans="1:30" x14ac:dyDescent="0.2">
      <c r="A739">
        <f t="shared" si="45"/>
        <v>21</v>
      </c>
      <c r="B739">
        <v>730</v>
      </c>
      <c r="C739" s="1078">
        <v>4</v>
      </c>
      <c r="D739" s="1077" t="s">
        <v>4729</v>
      </c>
      <c r="E739" s="1077" t="s">
        <v>5201</v>
      </c>
      <c r="F739" s="1185">
        <v>4</v>
      </c>
      <c r="G739" s="1186"/>
      <c r="H739" s="1186"/>
      <c r="I739" s="1186"/>
      <c r="J739" s="1186"/>
      <c r="K739" s="1186"/>
      <c r="L739" s="1186"/>
      <c r="M739" s="1186"/>
      <c r="N739" s="1186"/>
      <c r="O739" s="1186"/>
      <c r="P739" s="1186"/>
      <c r="Q739" s="1186"/>
      <c r="R739" s="1186"/>
      <c r="S739" s="1186"/>
      <c r="T739" s="1186"/>
      <c r="U739" s="1186"/>
      <c r="V739" s="1186"/>
      <c r="W739" s="1186"/>
      <c r="X739" s="1186"/>
      <c r="Y739" s="1186"/>
      <c r="Z739" s="1186"/>
      <c r="AA739" s="1186">
        <v>125.3</v>
      </c>
      <c r="AB739" s="1186">
        <v>4.9000000000000004</v>
      </c>
      <c r="AC739" s="1186">
        <v>108.3</v>
      </c>
      <c r="AD739" s="1187">
        <v>3.4</v>
      </c>
    </row>
    <row r="740" spans="1:30" x14ac:dyDescent="0.2">
      <c r="A740">
        <f t="shared" si="45"/>
        <v>21</v>
      </c>
      <c r="B740">
        <v>731</v>
      </c>
      <c r="C740" s="1078">
        <v>4</v>
      </c>
      <c r="D740" s="1077" t="s">
        <v>4729</v>
      </c>
      <c r="E740" s="1077" t="s">
        <v>5202</v>
      </c>
      <c r="F740" s="1185">
        <v>4</v>
      </c>
      <c r="G740" s="1186"/>
      <c r="H740" s="1186"/>
      <c r="I740" s="1186"/>
      <c r="J740" s="1186"/>
      <c r="K740" s="1186"/>
      <c r="L740" s="1186"/>
      <c r="M740" s="1186"/>
      <c r="N740" s="1186"/>
      <c r="O740" s="1186"/>
      <c r="P740" s="1186"/>
      <c r="Q740" s="1186"/>
      <c r="R740" s="1186"/>
      <c r="S740" s="1186"/>
      <c r="T740" s="1186"/>
      <c r="U740" s="1186"/>
      <c r="V740" s="1186"/>
      <c r="W740" s="1186"/>
      <c r="X740" s="1186"/>
      <c r="Y740" s="1186"/>
      <c r="Z740" s="1186"/>
      <c r="AA740" s="1186">
        <v>151</v>
      </c>
      <c r="AB740" s="1186">
        <v>5</v>
      </c>
      <c r="AC740" s="1186">
        <v>130.30000000000001</v>
      </c>
      <c r="AD740" s="1187">
        <v>3.4</v>
      </c>
    </row>
    <row r="741" spans="1:30" x14ac:dyDescent="0.2">
      <c r="A741">
        <f t="shared" si="45"/>
        <v>21</v>
      </c>
      <c r="B741">
        <v>732</v>
      </c>
      <c r="C741" s="1078">
        <v>4</v>
      </c>
      <c r="D741" s="1077" t="s">
        <v>4729</v>
      </c>
      <c r="E741" s="1077" t="s">
        <v>5203</v>
      </c>
      <c r="F741" s="1185">
        <v>4</v>
      </c>
      <c r="G741" s="1186"/>
      <c r="H741" s="1186"/>
      <c r="I741" s="1186"/>
      <c r="J741" s="1186"/>
      <c r="K741" s="1186"/>
      <c r="L741" s="1186"/>
      <c r="M741" s="1186"/>
      <c r="N741" s="1186"/>
      <c r="O741" s="1186"/>
      <c r="P741" s="1186"/>
      <c r="Q741" s="1186"/>
      <c r="R741" s="1186"/>
      <c r="S741" s="1186"/>
      <c r="T741" s="1186"/>
      <c r="U741" s="1186"/>
      <c r="V741" s="1186"/>
      <c r="W741" s="1186"/>
      <c r="X741" s="1186"/>
      <c r="Y741" s="1186"/>
      <c r="Z741" s="1186"/>
      <c r="AA741" s="1186">
        <v>193.9</v>
      </c>
      <c r="AB741" s="1186">
        <v>5.0999999999999996</v>
      </c>
      <c r="AC741" s="1186">
        <v>165.7</v>
      </c>
      <c r="AD741" s="1187">
        <v>3.6</v>
      </c>
    </row>
    <row r="742" spans="1:30" x14ac:dyDescent="0.2">
      <c r="A742">
        <f t="shared" si="45"/>
        <v>21</v>
      </c>
      <c r="B742">
        <v>733</v>
      </c>
      <c r="C742" s="1078">
        <v>4</v>
      </c>
      <c r="D742" s="1077" t="s">
        <v>4729</v>
      </c>
      <c r="E742" s="1077" t="s">
        <v>5204</v>
      </c>
      <c r="F742" s="1185">
        <v>4</v>
      </c>
      <c r="G742" s="1186"/>
      <c r="H742" s="1186"/>
      <c r="I742" s="1186"/>
      <c r="J742" s="1186"/>
      <c r="K742" s="1186"/>
      <c r="L742" s="1186"/>
      <c r="M742" s="1186"/>
      <c r="N742" s="1186"/>
      <c r="O742" s="1186"/>
      <c r="P742" s="1186"/>
      <c r="Q742" s="1186"/>
      <c r="R742" s="1186"/>
      <c r="S742" s="1186"/>
      <c r="T742" s="1186"/>
      <c r="U742" s="1186"/>
      <c r="V742" s="1186"/>
      <c r="W742" s="1186"/>
      <c r="X742" s="1186"/>
      <c r="Y742" s="1186"/>
      <c r="Z742" s="1186"/>
      <c r="AA742" s="1186">
        <v>213.3</v>
      </c>
      <c r="AB742" s="1186">
        <v>5.0999999999999996</v>
      </c>
      <c r="AC742" s="1186">
        <v>185.6</v>
      </c>
      <c r="AD742" s="1187">
        <v>3.6</v>
      </c>
    </row>
    <row r="743" spans="1:30" x14ac:dyDescent="0.2">
      <c r="A743">
        <f t="shared" si="45"/>
        <v>21</v>
      </c>
      <c r="B743">
        <v>734</v>
      </c>
      <c r="C743" s="1078">
        <v>4</v>
      </c>
      <c r="D743" s="1077" t="s">
        <v>4729</v>
      </c>
      <c r="E743" s="1077" t="s">
        <v>5205</v>
      </c>
      <c r="F743" s="1185">
        <v>4</v>
      </c>
      <c r="G743" s="1186"/>
      <c r="H743" s="1186"/>
      <c r="I743" s="1186"/>
      <c r="J743" s="1186"/>
      <c r="K743" s="1186"/>
      <c r="L743" s="1186"/>
      <c r="M743" s="1186"/>
      <c r="N743" s="1186"/>
      <c r="O743" s="1186"/>
      <c r="P743" s="1186"/>
      <c r="Q743" s="1186"/>
      <c r="R743" s="1186"/>
      <c r="S743" s="1186"/>
      <c r="T743" s="1186"/>
      <c r="U743" s="1186"/>
      <c r="V743" s="1186"/>
      <c r="W743" s="1186"/>
      <c r="X743" s="1186"/>
      <c r="Y743" s="1186"/>
      <c r="Z743" s="1186"/>
      <c r="AA743" s="1186">
        <v>254.9</v>
      </c>
      <c r="AB743" s="1186">
        <v>5</v>
      </c>
      <c r="AC743" s="1186">
        <v>217.8</v>
      </c>
      <c r="AD743" s="1187">
        <v>3.6</v>
      </c>
    </row>
    <row r="744" spans="1:30" x14ac:dyDescent="0.2">
      <c r="A744">
        <f t="shared" si="45"/>
        <v>21</v>
      </c>
      <c r="B744">
        <v>735</v>
      </c>
      <c r="C744" s="1078">
        <v>3</v>
      </c>
      <c r="D744" s="1077" t="s">
        <v>4729</v>
      </c>
      <c r="E744" s="1077" t="s">
        <v>4761</v>
      </c>
      <c r="F744" s="1185">
        <v>1</v>
      </c>
      <c r="G744" s="1186"/>
      <c r="H744" s="1186"/>
      <c r="I744" s="1186"/>
      <c r="J744" s="1186"/>
      <c r="K744" s="1186"/>
      <c r="L744" s="1186"/>
      <c r="M744" s="1186"/>
      <c r="N744" s="1186"/>
      <c r="O744" s="1186"/>
      <c r="P744" s="1186"/>
      <c r="Q744" s="1186"/>
      <c r="R744" s="1186"/>
      <c r="S744" s="1186"/>
      <c r="T744" s="1186"/>
      <c r="U744" s="1186"/>
      <c r="V744" s="1186"/>
      <c r="W744" s="1186">
        <v>5.6</v>
      </c>
      <c r="X744" s="1186">
        <v>4.5</v>
      </c>
      <c r="Y744" s="1186">
        <v>5.0999999999999996</v>
      </c>
      <c r="Z744" s="1186">
        <v>2.8</v>
      </c>
      <c r="AA744" s="1186"/>
      <c r="AB744" s="1186"/>
      <c r="AC744" s="1186"/>
      <c r="AD744" s="1187"/>
    </row>
    <row r="745" spans="1:30" x14ac:dyDescent="0.2">
      <c r="A745">
        <f t="shared" si="45"/>
        <v>21</v>
      </c>
      <c r="B745">
        <v>736</v>
      </c>
      <c r="C745" s="1078">
        <v>3</v>
      </c>
      <c r="D745" s="1077" t="s">
        <v>4729</v>
      </c>
      <c r="E745" s="1077" t="s">
        <v>4762</v>
      </c>
      <c r="F745" s="1185">
        <v>1</v>
      </c>
      <c r="G745" s="1186"/>
      <c r="H745" s="1186"/>
      <c r="I745" s="1186"/>
      <c r="J745" s="1186"/>
      <c r="K745" s="1186"/>
      <c r="L745" s="1186"/>
      <c r="M745" s="1186"/>
      <c r="N745" s="1186"/>
      <c r="O745" s="1186"/>
      <c r="P745" s="1186"/>
      <c r="Q745" s="1186"/>
      <c r="R745" s="1186"/>
      <c r="S745" s="1186"/>
      <c r="T745" s="1186"/>
      <c r="U745" s="1186"/>
      <c r="V745" s="1186"/>
      <c r="W745" s="1186">
        <v>7.5</v>
      </c>
      <c r="X745" s="1186">
        <v>4.8</v>
      </c>
      <c r="Y745" s="1186">
        <v>7</v>
      </c>
      <c r="Z745" s="1186">
        <v>2.9</v>
      </c>
      <c r="AA745" s="1186"/>
      <c r="AB745" s="1186"/>
      <c r="AC745" s="1186"/>
      <c r="AD745" s="1187"/>
    </row>
    <row r="746" spans="1:30" x14ac:dyDescent="0.2">
      <c r="A746">
        <f t="shared" si="45"/>
        <v>21</v>
      </c>
      <c r="B746">
        <v>737</v>
      </c>
      <c r="C746" s="1078">
        <v>3</v>
      </c>
      <c r="D746" s="1077" t="s">
        <v>4729</v>
      </c>
      <c r="E746" s="1077" t="s">
        <v>4763</v>
      </c>
      <c r="F746" s="1185">
        <v>1</v>
      </c>
      <c r="G746" s="1186"/>
      <c r="H746" s="1186"/>
      <c r="I746" s="1186"/>
      <c r="J746" s="1186"/>
      <c r="K746" s="1186"/>
      <c r="L746" s="1186"/>
      <c r="M746" s="1186"/>
      <c r="N746" s="1186"/>
      <c r="O746" s="1186"/>
      <c r="P746" s="1186"/>
      <c r="Q746" s="1186"/>
      <c r="R746" s="1186"/>
      <c r="S746" s="1186"/>
      <c r="T746" s="1186"/>
      <c r="U746" s="1186"/>
      <c r="V746" s="1186"/>
      <c r="W746" s="1186">
        <v>10</v>
      </c>
      <c r="X746" s="1186">
        <v>4.8</v>
      </c>
      <c r="Y746" s="1186">
        <v>9.1999999999999993</v>
      </c>
      <c r="Z746" s="1186">
        <v>3</v>
      </c>
      <c r="AA746" s="1186"/>
      <c r="AB746" s="1186"/>
      <c r="AC746" s="1186"/>
      <c r="AD746" s="1187"/>
    </row>
    <row r="747" spans="1:30" x14ac:dyDescent="0.2">
      <c r="A747">
        <f t="shared" si="45"/>
        <v>21</v>
      </c>
      <c r="B747">
        <v>738</v>
      </c>
      <c r="C747" s="1078">
        <v>3</v>
      </c>
      <c r="D747" s="1077" t="s">
        <v>4729</v>
      </c>
      <c r="E747" s="1077" t="s">
        <v>4764</v>
      </c>
      <c r="F747" s="1185">
        <v>1</v>
      </c>
      <c r="G747" s="1186"/>
      <c r="H747" s="1186"/>
      <c r="I747" s="1186"/>
      <c r="J747" s="1186"/>
      <c r="K747" s="1186"/>
      <c r="L747" s="1186"/>
      <c r="M747" s="1186"/>
      <c r="N747" s="1186"/>
      <c r="O747" s="1186"/>
      <c r="P747" s="1186"/>
      <c r="Q747" s="1186"/>
      <c r="R747" s="1186"/>
      <c r="S747" s="1186"/>
      <c r="T747" s="1186"/>
      <c r="U747" s="1186"/>
      <c r="V747" s="1186"/>
      <c r="W747" s="1186">
        <v>12.8</v>
      </c>
      <c r="X747" s="1186">
        <v>4.8</v>
      </c>
      <c r="Y747" s="1186">
        <v>11.7</v>
      </c>
      <c r="Z747" s="1186">
        <v>2.9</v>
      </c>
      <c r="AA747" s="1186"/>
      <c r="AB747" s="1186"/>
      <c r="AC747" s="1186"/>
      <c r="AD747" s="1187"/>
    </row>
    <row r="748" spans="1:30" x14ac:dyDescent="0.2">
      <c r="A748">
        <f t="shared" si="45"/>
        <v>21</v>
      </c>
      <c r="B748">
        <v>739</v>
      </c>
      <c r="C748" s="1078">
        <v>3</v>
      </c>
      <c r="D748" s="1077" t="s">
        <v>4729</v>
      </c>
      <c r="E748" s="1077" t="s">
        <v>4765</v>
      </c>
      <c r="F748" s="1185">
        <v>1</v>
      </c>
      <c r="G748" s="1186"/>
      <c r="H748" s="1186"/>
      <c r="I748" s="1186"/>
      <c r="J748" s="1186"/>
      <c r="K748" s="1186"/>
      <c r="L748" s="1186"/>
      <c r="M748" s="1186"/>
      <c r="N748" s="1186"/>
      <c r="O748" s="1186"/>
      <c r="P748" s="1186"/>
      <c r="Q748" s="1186"/>
      <c r="R748" s="1186"/>
      <c r="S748" s="1186"/>
      <c r="T748" s="1186"/>
      <c r="U748" s="1186"/>
      <c r="V748" s="1186"/>
      <c r="W748" s="1186">
        <v>17</v>
      </c>
      <c r="X748" s="1186">
        <v>4.7</v>
      </c>
      <c r="Y748" s="1186">
        <v>15.5</v>
      </c>
      <c r="Z748" s="1186">
        <v>3</v>
      </c>
      <c r="AA748" s="1186"/>
      <c r="AB748" s="1186"/>
      <c r="AC748" s="1186"/>
      <c r="AD748" s="1187"/>
    </row>
    <row r="749" spans="1:30" x14ac:dyDescent="0.2">
      <c r="A749">
        <f t="shared" si="45"/>
        <v>21</v>
      </c>
      <c r="B749">
        <v>740</v>
      </c>
      <c r="C749" s="1078">
        <v>3</v>
      </c>
      <c r="D749" s="1077" t="s">
        <v>4729</v>
      </c>
      <c r="E749" s="1077" t="s">
        <v>4766</v>
      </c>
      <c r="F749" s="1185">
        <v>1</v>
      </c>
      <c r="G749" s="1186"/>
      <c r="H749" s="1186"/>
      <c r="I749" s="1186"/>
      <c r="J749" s="1186"/>
      <c r="K749" s="1186"/>
      <c r="L749" s="1186"/>
      <c r="M749" s="1186"/>
      <c r="N749" s="1186"/>
      <c r="O749" s="1186"/>
      <c r="P749" s="1186"/>
      <c r="Q749" s="1186"/>
      <c r="R749" s="1186"/>
      <c r="S749" s="1186"/>
      <c r="T749" s="1186"/>
      <c r="U749" s="1186"/>
      <c r="V749" s="1186"/>
      <c r="W749" s="1186">
        <v>21.1</v>
      </c>
      <c r="X749" s="1186">
        <v>4.8</v>
      </c>
      <c r="Y749" s="1186">
        <v>19.2</v>
      </c>
      <c r="Z749" s="1186">
        <v>3</v>
      </c>
      <c r="AA749" s="1186"/>
      <c r="AB749" s="1186"/>
      <c r="AC749" s="1186"/>
      <c r="AD749" s="1187"/>
    </row>
    <row r="750" spans="1:30" x14ac:dyDescent="0.2">
      <c r="A750">
        <f t="shared" si="45"/>
        <v>21</v>
      </c>
      <c r="B750">
        <v>741</v>
      </c>
      <c r="C750" s="1078">
        <v>4</v>
      </c>
      <c r="D750" s="1077" t="s">
        <v>4729</v>
      </c>
      <c r="E750" s="1077" t="s">
        <v>4761</v>
      </c>
      <c r="F750" s="1185">
        <v>1</v>
      </c>
      <c r="G750" s="1186"/>
      <c r="H750" s="1186"/>
      <c r="I750" s="1186"/>
      <c r="J750" s="1186"/>
      <c r="K750" s="1186"/>
      <c r="L750" s="1186"/>
      <c r="M750" s="1186"/>
      <c r="N750" s="1186"/>
      <c r="O750" s="1186"/>
      <c r="P750" s="1186"/>
      <c r="Q750" s="1186"/>
      <c r="R750" s="1186"/>
      <c r="S750" s="1186"/>
      <c r="T750" s="1186"/>
      <c r="U750" s="1186"/>
      <c r="V750" s="1186"/>
      <c r="W750" s="1186"/>
      <c r="X750" s="1186"/>
      <c r="Y750" s="1186"/>
      <c r="Z750" s="1186"/>
      <c r="AA750" s="1186">
        <v>7.5</v>
      </c>
      <c r="AB750" s="1186">
        <v>5.4</v>
      </c>
      <c r="AC750" s="1186">
        <v>6.8</v>
      </c>
      <c r="AD750" s="1187">
        <v>3.3</v>
      </c>
    </row>
    <row r="751" spans="1:30" x14ac:dyDescent="0.2">
      <c r="A751">
        <f t="shared" si="45"/>
        <v>21</v>
      </c>
      <c r="B751">
        <v>742</v>
      </c>
      <c r="C751" s="1078">
        <v>4</v>
      </c>
      <c r="D751" s="1077" t="s">
        <v>4729</v>
      </c>
      <c r="E751" s="1077" t="s">
        <v>4762</v>
      </c>
      <c r="F751" s="1185">
        <v>1</v>
      </c>
      <c r="G751" s="1186"/>
      <c r="H751" s="1186"/>
      <c r="I751" s="1186"/>
      <c r="J751" s="1186"/>
      <c r="K751" s="1186"/>
      <c r="L751" s="1186"/>
      <c r="M751" s="1186"/>
      <c r="N751" s="1186"/>
      <c r="O751" s="1186"/>
      <c r="P751" s="1186"/>
      <c r="Q751" s="1186"/>
      <c r="R751" s="1186"/>
      <c r="S751" s="1186"/>
      <c r="T751" s="1186"/>
      <c r="U751" s="1186"/>
      <c r="V751" s="1186"/>
      <c r="W751" s="1186"/>
      <c r="X751" s="1186"/>
      <c r="Y751" s="1186"/>
      <c r="Z751" s="1186"/>
      <c r="AA751" s="1186">
        <v>9.8000000000000007</v>
      </c>
      <c r="AB751" s="1186">
        <v>5.7</v>
      </c>
      <c r="AC751" s="1186">
        <v>8.9</v>
      </c>
      <c r="AD751" s="1187">
        <v>3.4</v>
      </c>
    </row>
    <row r="752" spans="1:30" x14ac:dyDescent="0.2">
      <c r="A752">
        <f t="shared" si="45"/>
        <v>21</v>
      </c>
      <c r="B752">
        <v>743</v>
      </c>
      <c r="C752" s="1078">
        <v>4</v>
      </c>
      <c r="D752" s="1077" t="s">
        <v>4729</v>
      </c>
      <c r="E752" s="1077" t="s">
        <v>4763</v>
      </c>
      <c r="F752" s="1185">
        <v>1</v>
      </c>
      <c r="G752" s="1186"/>
      <c r="H752" s="1186"/>
      <c r="I752" s="1186"/>
      <c r="J752" s="1186"/>
      <c r="K752" s="1186"/>
      <c r="L752" s="1186"/>
      <c r="M752" s="1186"/>
      <c r="N752" s="1186"/>
      <c r="O752" s="1186"/>
      <c r="P752" s="1186"/>
      <c r="Q752" s="1186"/>
      <c r="R752" s="1186"/>
      <c r="S752" s="1186"/>
      <c r="T752" s="1186"/>
      <c r="U752" s="1186"/>
      <c r="V752" s="1186"/>
      <c r="W752" s="1186"/>
      <c r="X752" s="1186"/>
      <c r="Y752" s="1186"/>
      <c r="Z752" s="1186"/>
      <c r="AA752" s="1186">
        <v>13.2</v>
      </c>
      <c r="AB752" s="1186">
        <v>5.7</v>
      </c>
      <c r="AC752" s="1186">
        <v>11.9</v>
      </c>
      <c r="AD752" s="1187">
        <v>3.5</v>
      </c>
    </row>
    <row r="753" spans="1:30" x14ac:dyDescent="0.2">
      <c r="A753">
        <f t="shared" si="45"/>
        <v>21</v>
      </c>
      <c r="B753">
        <v>744</v>
      </c>
      <c r="C753" s="1078">
        <v>4</v>
      </c>
      <c r="D753" s="1077" t="s">
        <v>4729</v>
      </c>
      <c r="E753" s="1077" t="s">
        <v>4764</v>
      </c>
      <c r="F753" s="1185">
        <v>1</v>
      </c>
      <c r="G753" s="1186"/>
      <c r="H753" s="1186"/>
      <c r="I753" s="1186"/>
      <c r="J753" s="1186"/>
      <c r="K753" s="1186"/>
      <c r="L753" s="1186"/>
      <c r="M753" s="1186"/>
      <c r="N753" s="1186"/>
      <c r="O753" s="1186"/>
      <c r="P753" s="1186"/>
      <c r="Q753" s="1186"/>
      <c r="R753" s="1186"/>
      <c r="S753" s="1186"/>
      <c r="T753" s="1186"/>
      <c r="U753" s="1186"/>
      <c r="V753" s="1186"/>
      <c r="W753" s="1186"/>
      <c r="X753" s="1186"/>
      <c r="Y753" s="1186"/>
      <c r="Z753" s="1186"/>
      <c r="AA753" s="1186">
        <v>16.8</v>
      </c>
      <c r="AB753" s="1186">
        <v>5.8</v>
      </c>
      <c r="AC753" s="1186">
        <v>15.2</v>
      </c>
      <c r="AD753" s="1187">
        <v>3.5</v>
      </c>
    </row>
    <row r="754" spans="1:30" x14ac:dyDescent="0.2">
      <c r="A754">
        <f t="shared" si="45"/>
        <v>21</v>
      </c>
      <c r="B754">
        <v>745</v>
      </c>
      <c r="C754" s="1078">
        <v>4</v>
      </c>
      <c r="D754" s="1077" t="s">
        <v>4729</v>
      </c>
      <c r="E754" s="1077" t="s">
        <v>4765</v>
      </c>
      <c r="F754" s="1185">
        <v>1</v>
      </c>
      <c r="G754" s="1186"/>
      <c r="H754" s="1186"/>
      <c r="I754" s="1186"/>
      <c r="J754" s="1186"/>
      <c r="K754" s="1186"/>
      <c r="L754" s="1186"/>
      <c r="M754" s="1186"/>
      <c r="N754" s="1186"/>
      <c r="O754" s="1186"/>
      <c r="P754" s="1186"/>
      <c r="Q754" s="1186"/>
      <c r="R754" s="1186"/>
      <c r="S754" s="1186"/>
      <c r="T754" s="1186"/>
      <c r="U754" s="1186"/>
      <c r="V754" s="1186"/>
      <c r="W754" s="1186"/>
      <c r="X754" s="1186"/>
      <c r="Y754" s="1186"/>
      <c r="Z754" s="1186"/>
      <c r="AA754" s="1186">
        <v>22.3</v>
      </c>
      <c r="AB754" s="1186">
        <v>5.6</v>
      </c>
      <c r="AC754" s="1186">
        <v>20.2</v>
      </c>
      <c r="AD754" s="1187">
        <v>3.5</v>
      </c>
    </row>
    <row r="755" spans="1:30" x14ac:dyDescent="0.2">
      <c r="A755">
        <f t="shared" si="45"/>
        <v>21</v>
      </c>
      <c r="B755">
        <v>746</v>
      </c>
      <c r="C755" s="1078">
        <v>4</v>
      </c>
      <c r="D755" s="1077" t="s">
        <v>4729</v>
      </c>
      <c r="E755" s="1077" t="s">
        <v>4766</v>
      </c>
      <c r="F755" s="1185">
        <v>1</v>
      </c>
      <c r="G755" s="1186"/>
      <c r="H755" s="1186"/>
      <c r="I755" s="1186"/>
      <c r="J755" s="1186"/>
      <c r="K755" s="1186"/>
      <c r="L755" s="1186"/>
      <c r="M755" s="1186"/>
      <c r="N755" s="1186"/>
      <c r="O755" s="1186"/>
      <c r="P755" s="1186"/>
      <c r="Q755" s="1186"/>
      <c r="R755" s="1186"/>
      <c r="S755" s="1186"/>
      <c r="T755" s="1186"/>
      <c r="U755" s="1186"/>
      <c r="V755" s="1186"/>
      <c r="W755" s="1186"/>
      <c r="X755" s="1186"/>
      <c r="Y755" s="1186"/>
      <c r="Z755" s="1186"/>
      <c r="AA755" s="1186">
        <v>27.9</v>
      </c>
      <c r="AB755" s="1186">
        <v>5.7</v>
      </c>
      <c r="AC755" s="1186">
        <v>25</v>
      </c>
      <c r="AD755" s="1187">
        <v>3.6</v>
      </c>
    </row>
    <row r="756" spans="1:30" x14ac:dyDescent="0.2">
      <c r="A756">
        <f t="shared" si="45"/>
        <v>21</v>
      </c>
      <c r="B756">
        <v>747</v>
      </c>
      <c r="C756" s="1078">
        <v>3</v>
      </c>
      <c r="D756" s="1077" t="s">
        <v>4729</v>
      </c>
      <c r="E756" s="1077" t="s">
        <v>5449</v>
      </c>
      <c r="F756" s="1185">
        <v>2</v>
      </c>
      <c r="G756" s="1186"/>
      <c r="H756" s="1186"/>
      <c r="I756" s="1186"/>
      <c r="J756" s="1186"/>
      <c r="K756" s="1186"/>
      <c r="L756" s="1186"/>
      <c r="M756" s="1186"/>
      <c r="N756" s="1186"/>
      <c r="O756" s="1186"/>
      <c r="P756" s="1186"/>
      <c r="Q756" s="1186"/>
      <c r="R756" s="1186"/>
      <c r="S756" s="1186"/>
      <c r="T756" s="1186"/>
      <c r="U756" s="1186"/>
      <c r="V756" s="1186"/>
      <c r="W756" s="1186">
        <v>24.8</v>
      </c>
      <c r="X756" s="1186">
        <v>4.5</v>
      </c>
      <c r="Y756" s="1186">
        <v>23.2</v>
      </c>
      <c r="Z756" s="1186">
        <v>2.8</v>
      </c>
      <c r="AA756" s="1186"/>
      <c r="AB756" s="1186"/>
      <c r="AC756" s="1186"/>
      <c r="AD756" s="1187"/>
    </row>
    <row r="757" spans="1:30" x14ac:dyDescent="0.2">
      <c r="A757">
        <f t="shared" si="45"/>
        <v>21</v>
      </c>
      <c r="B757">
        <v>748</v>
      </c>
      <c r="C757" s="1078">
        <v>3</v>
      </c>
      <c r="D757" s="1077" t="s">
        <v>4729</v>
      </c>
      <c r="E757" s="1077" t="s">
        <v>5450</v>
      </c>
      <c r="F757" s="1185">
        <v>2</v>
      </c>
      <c r="G757" s="1186"/>
      <c r="H757" s="1186"/>
      <c r="I757" s="1186"/>
      <c r="J757" s="1186"/>
      <c r="K757" s="1186"/>
      <c r="L757" s="1186"/>
      <c r="M757" s="1186"/>
      <c r="N757" s="1186"/>
      <c r="O757" s="1186"/>
      <c r="P757" s="1186"/>
      <c r="Q757" s="1186"/>
      <c r="R757" s="1186"/>
      <c r="S757" s="1186"/>
      <c r="T757" s="1186"/>
      <c r="U757" s="1186"/>
      <c r="V757" s="1186"/>
      <c r="W757" s="1186">
        <v>32.700000000000003</v>
      </c>
      <c r="X757" s="1186">
        <v>4.4000000000000004</v>
      </c>
      <c r="Y757" s="1186">
        <v>30.6</v>
      </c>
      <c r="Z757" s="1186">
        <v>2.8</v>
      </c>
      <c r="AA757" s="1186"/>
      <c r="AB757" s="1186"/>
      <c r="AC757" s="1186"/>
      <c r="AD757" s="1187"/>
    </row>
    <row r="758" spans="1:30" x14ac:dyDescent="0.2">
      <c r="A758">
        <f t="shared" si="45"/>
        <v>21</v>
      </c>
      <c r="B758">
        <v>749</v>
      </c>
      <c r="C758" s="1078">
        <v>4</v>
      </c>
      <c r="D758" s="1077" t="s">
        <v>4729</v>
      </c>
      <c r="E758" s="1077" t="s">
        <v>5449</v>
      </c>
      <c r="F758" s="1185">
        <v>2</v>
      </c>
      <c r="G758" s="1186"/>
      <c r="H758" s="1186"/>
      <c r="I758" s="1186"/>
      <c r="J758" s="1186"/>
      <c r="K758" s="1186"/>
      <c r="L758" s="1186"/>
      <c r="M758" s="1186"/>
      <c r="N758" s="1186"/>
      <c r="O758" s="1186"/>
      <c r="P758" s="1186"/>
      <c r="Q758" s="1186"/>
      <c r="R758" s="1186"/>
      <c r="S758" s="1186"/>
      <c r="T758" s="1186"/>
      <c r="U758" s="1186"/>
      <c r="V758" s="1186"/>
      <c r="W758" s="1186"/>
      <c r="X758" s="1186"/>
      <c r="Y758" s="1186"/>
      <c r="Z758" s="1186"/>
      <c r="AA758" s="1186">
        <v>32.700000000000003</v>
      </c>
      <c r="AB758" s="1186">
        <v>5.8</v>
      </c>
      <c r="AC758" s="1186">
        <v>30.1</v>
      </c>
      <c r="AD758" s="1187">
        <v>3.5</v>
      </c>
    </row>
    <row r="759" spans="1:30" x14ac:dyDescent="0.2">
      <c r="A759">
        <f t="shared" si="45"/>
        <v>21</v>
      </c>
      <c r="B759">
        <v>750</v>
      </c>
      <c r="C759" s="1078">
        <v>4</v>
      </c>
      <c r="D759" s="1077" t="s">
        <v>4729</v>
      </c>
      <c r="E759" s="1077" t="s">
        <v>5450</v>
      </c>
      <c r="F759" s="1185">
        <v>2</v>
      </c>
      <c r="G759" s="1186"/>
      <c r="H759" s="1186"/>
      <c r="I759" s="1186"/>
      <c r="J759" s="1186"/>
      <c r="K759" s="1186"/>
      <c r="L759" s="1186"/>
      <c r="M759" s="1186"/>
      <c r="N759" s="1186"/>
      <c r="O759" s="1186"/>
      <c r="P759" s="1186"/>
      <c r="Q759" s="1186"/>
      <c r="R759" s="1186"/>
      <c r="S759" s="1186"/>
      <c r="T759" s="1186"/>
      <c r="U759" s="1186"/>
      <c r="V759" s="1186"/>
      <c r="W759" s="1186"/>
      <c r="X759" s="1186"/>
      <c r="Y759" s="1186"/>
      <c r="Z759" s="1186"/>
      <c r="AA759" s="1186">
        <v>42.9</v>
      </c>
      <c r="AB759" s="1186">
        <v>5.5</v>
      </c>
      <c r="AC759" s="1186">
        <v>39.5</v>
      </c>
      <c r="AD759" s="1187">
        <v>3.5</v>
      </c>
    </row>
    <row r="760" spans="1:30" x14ac:dyDescent="0.2">
      <c r="A760">
        <f t="shared" si="45"/>
        <v>21</v>
      </c>
      <c r="B760">
        <v>751</v>
      </c>
      <c r="C760" s="1078">
        <v>3</v>
      </c>
      <c r="D760" s="1077" t="s">
        <v>4729</v>
      </c>
      <c r="E760" s="1077" t="s">
        <v>4767</v>
      </c>
      <c r="F760" s="1185">
        <v>1</v>
      </c>
      <c r="G760" s="1186"/>
      <c r="H760" s="1186"/>
      <c r="I760" s="1186"/>
      <c r="J760" s="1186"/>
      <c r="K760" s="1186"/>
      <c r="L760" s="1186"/>
      <c r="M760" s="1186"/>
      <c r="N760" s="1186"/>
      <c r="O760" s="1186"/>
      <c r="P760" s="1186"/>
      <c r="Q760" s="1186"/>
      <c r="R760" s="1186"/>
      <c r="S760" s="1186"/>
      <c r="T760" s="1186"/>
      <c r="U760" s="1186"/>
      <c r="V760" s="1186"/>
      <c r="W760" s="1186">
        <v>4.7</v>
      </c>
      <c r="X760" s="1186">
        <v>4.3</v>
      </c>
      <c r="Y760" s="1186">
        <v>4.3</v>
      </c>
      <c r="Z760" s="1186">
        <v>2.7</v>
      </c>
      <c r="AA760" s="1186"/>
      <c r="AB760" s="1186"/>
      <c r="AC760" s="1186"/>
      <c r="AD760" s="1187"/>
    </row>
    <row r="761" spans="1:30" x14ac:dyDescent="0.2">
      <c r="A761">
        <f t="shared" si="45"/>
        <v>21</v>
      </c>
      <c r="B761">
        <v>752</v>
      </c>
      <c r="C761" s="1078">
        <v>3</v>
      </c>
      <c r="D761" s="1077" t="s">
        <v>4729</v>
      </c>
      <c r="E761" s="1077" t="s">
        <v>4768</v>
      </c>
      <c r="F761" s="1185">
        <v>1</v>
      </c>
      <c r="G761" s="1186"/>
      <c r="H761" s="1186"/>
      <c r="I761" s="1186"/>
      <c r="J761" s="1186"/>
      <c r="K761" s="1186"/>
      <c r="L761" s="1186"/>
      <c r="M761" s="1186"/>
      <c r="N761" s="1186"/>
      <c r="O761" s="1186"/>
      <c r="P761" s="1186"/>
      <c r="Q761" s="1186"/>
      <c r="R761" s="1186"/>
      <c r="S761" s="1186"/>
      <c r="T761" s="1186"/>
      <c r="U761" s="1186"/>
      <c r="V761" s="1186"/>
      <c r="W761" s="1186">
        <v>10.1</v>
      </c>
      <c r="X761" s="1186">
        <v>4.5</v>
      </c>
      <c r="Y761" s="1186">
        <v>9.1999999999999993</v>
      </c>
      <c r="Z761" s="1186">
        <v>3.7</v>
      </c>
      <c r="AA761" s="1186"/>
      <c r="AB761" s="1186"/>
      <c r="AC761" s="1186"/>
      <c r="AD761" s="1187"/>
    </row>
    <row r="762" spans="1:30" x14ac:dyDescent="0.2">
      <c r="A762">
        <f t="shared" si="45"/>
        <v>21</v>
      </c>
      <c r="B762">
        <v>753</v>
      </c>
      <c r="C762" s="1078">
        <v>3</v>
      </c>
      <c r="D762" s="1077" t="s">
        <v>4729</v>
      </c>
      <c r="E762" s="1077" t="s">
        <v>4769</v>
      </c>
      <c r="F762" s="1185">
        <v>1</v>
      </c>
      <c r="G762" s="1186"/>
      <c r="H762" s="1186"/>
      <c r="I762" s="1186"/>
      <c r="J762" s="1186"/>
      <c r="K762" s="1186"/>
      <c r="L762" s="1186"/>
      <c r="M762" s="1186"/>
      <c r="N762" s="1186"/>
      <c r="O762" s="1186"/>
      <c r="P762" s="1186"/>
      <c r="Q762" s="1186"/>
      <c r="R762" s="1186"/>
      <c r="S762" s="1186"/>
      <c r="T762" s="1186"/>
      <c r="U762" s="1186"/>
      <c r="V762" s="1186"/>
      <c r="W762" s="1186">
        <v>13.1</v>
      </c>
      <c r="X762" s="1186">
        <v>4</v>
      </c>
      <c r="Y762" s="1186">
        <v>11.7</v>
      </c>
      <c r="Z762" s="1186">
        <v>2.8</v>
      </c>
      <c r="AA762" s="1186"/>
      <c r="AB762" s="1186"/>
      <c r="AC762" s="1186"/>
      <c r="AD762" s="1187"/>
    </row>
    <row r="763" spans="1:30" x14ac:dyDescent="0.2">
      <c r="A763">
        <f t="shared" si="45"/>
        <v>21</v>
      </c>
      <c r="B763">
        <v>754</v>
      </c>
      <c r="C763" s="1078">
        <v>3</v>
      </c>
      <c r="D763" s="1077" t="s">
        <v>4729</v>
      </c>
      <c r="E763" s="1077" t="s">
        <v>4770</v>
      </c>
      <c r="F763" s="1185">
        <v>1</v>
      </c>
      <c r="G763" s="1186"/>
      <c r="H763" s="1186"/>
      <c r="I763" s="1186"/>
      <c r="J763" s="1186"/>
      <c r="K763" s="1186"/>
      <c r="L763" s="1186"/>
      <c r="M763" s="1186"/>
      <c r="N763" s="1186"/>
      <c r="O763" s="1186"/>
      <c r="P763" s="1186"/>
      <c r="Q763" s="1186"/>
      <c r="R763" s="1186"/>
      <c r="S763" s="1186"/>
      <c r="T763" s="1186"/>
      <c r="U763" s="1186"/>
      <c r="V763" s="1186"/>
      <c r="W763" s="1186">
        <v>17.600000000000001</v>
      </c>
      <c r="X763" s="1186">
        <v>4.3</v>
      </c>
      <c r="Y763" s="1186">
        <v>16.8</v>
      </c>
      <c r="Z763" s="1186">
        <v>2.8</v>
      </c>
      <c r="AA763" s="1186"/>
      <c r="AB763" s="1186"/>
      <c r="AC763" s="1186"/>
      <c r="AD763" s="1187"/>
    </row>
    <row r="764" spans="1:30" x14ac:dyDescent="0.2">
      <c r="A764">
        <f t="shared" si="45"/>
        <v>21</v>
      </c>
      <c r="B764">
        <v>755</v>
      </c>
      <c r="C764" s="1078">
        <v>4</v>
      </c>
      <c r="D764" s="1077" t="s">
        <v>4729</v>
      </c>
      <c r="E764" s="1077" t="s">
        <v>4767</v>
      </c>
      <c r="F764" s="1185">
        <v>1</v>
      </c>
      <c r="G764" s="1186"/>
      <c r="H764" s="1186"/>
      <c r="I764" s="1186"/>
      <c r="J764" s="1186"/>
      <c r="K764" s="1186"/>
      <c r="L764" s="1186"/>
      <c r="M764" s="1186"/>
      <c r="N764" s="1186"/>
      <c r="O764" s="1186"/>
      <c r="P764" s="1186"/>
      <c r="Q764" s="1186"/>
      <c r="R764" s="1186"/>
      <c r="S764" s="1186"/>
      <c r="T764" s="1186"/>
      <c r="U764" s="1186"/>
      <c r="V764" s="1186"/>
      <c r="W764" s="1186"/>
      <c r="X764" s="1186"/>
      <c r="Y764" s="1186"/>
      <c r="Z764" s="1186"/>
      <c r="AA764" s="1186">
        <v>6.7</v>
      </c>
      <c r="AB764" s="1186">
        <v>5.7</v>
      </c>
      <c r="AC764" s="1186">
        <v>6.2</v>
      </c>
      <c r="AD764" s="1187">
        <v>3.7</v>
      </c>
    </row>
    <row r="765" spans="1:30" x14ac:dyDescent="0.2">
      <c r="A765">
        <f t="shared" si="45"/>
        <v>21</v>
      </c>
      <c r="B765">
        <v>756</v>
      </c>
      <c r="C765" s="1078">
        <v>4</v>
      </c>
      <c r="D765" s="1077" t="s">
        <v>4729</v>
      </c>
      <c r="E765" s="1077" t="s">
        <v>4768</v>
      </c>
      <c r="F765" s="1185">
        <v>1</v>
      </c>
      <c r="G765" s="1186"/>
      <c r="H765" s="1186"/>
      <c r="I765" s="1186"/>
      <c r="J765" s="1186"/>
      <c r="K765" s="1186"/>
      <c r="L765" s="1186"/>
      <c r="M765" s="1186"/>
      <c r="N765" s="1186"/>
      <c r="O765" s="1186"/>
      <c r="P765" s="1186"/>
      <c r="Q765" s="1186"/>
      <c r="R765" s="1186"/>
      <c r="S765" s="1186"/>
      <c r="T765" s="1186"/>
      <c r="U765" s="1186"/>
      <c r="V765" s="1186"/>
      <c r="W765" s="1186"/>
      <c r="X765" s="1186"/>
      <c r="Y765" s="1186"/>
      <c r="Z765" s="1186"/>
      <c r="AA765" s="1186">
        <v>14.2</v>
      </c>
      <c r="AB765" s="1186">
        <v>5.7</v>
      </c>
      <c r="AC765" s="1186">
        <v>13.2</v>
      </c>
      <c r="AD765" s="1187">
        <v>3.8</v>
      </c>
    </row>
    <row r="766" spans="1:30" x14ac:dyDescent="0.2">
      <c r="A766">
        <f t="shared" si="45"/>
        <v>21</v>
      </c>
      <c r="B766">
        <v>757</v>
      </c>
      <c r="C766" s="1078">
        <v>4</v>
      </c>
      <c r="D766" s="1077" t="s">
        <v>4729</v>
      </c>
      <c r="E766" s="1077" t="s">
        <v>4769</v>
      </c>
      <c r="F766" s="1185">
        <v>1</v>
      </c>
      <c r="G766" s="1186"/>
      <c r="H766" s="1186"/>
      <c r="I766" s="1186"/>
      <c r="J766" s="1186"/>
      <c r="K766" s="1186"/>
      <c r="L766" s="1186"/>
      <c r="M766" s="1186"/>
      <c r="N766" s="1186"/>
      <c r="O766" s="1186"/>
      <c r="P766" s="1186"/>
      <c r="Q766" s="1186"/>
      <c r="R766" s="1186"/>
      <c r="S766" s="1186"/>
      <c r="T766" s="1186"/>
      <c r="U766" s="1186"/>
      <c r="V766" s="1186"/>
      <c r="W766" s="1186"/>
      <c r="X766" s="1186"/>
      <c r="Y766" s="1186"/>
      <c r="Z766" s="1186"/>
      <c r="AA766" s="1186">
        <v>18.5</v>
      </c>
      <c r="AB766" s="1186">
        <v>4.9000000000000004</v>
      </c>
      <c r="AC766" s="1186">
        <v>16.600000000000001</v>
      </c>
      <c r="AD766" s="1187">
        <v>3.5</v>
      </c>
    </row>
    <row r="767" spans="1:30" x14ac:dyDescent="0.2">
      <c r="A767">
        <f t="shared" si="45"/>
        <v>21</v>
      </c>
      <c r="B767">
        <v>758</v>
      </c>
      <c r="C767" s="1078">
        <v>4</v>
      </c>
      <c r="D767" s="1077" t="s">
        <v>4729</v>
      </c>
      <c r="E767" s="1077" t="s">
        <v>4770</v>
      </c>
      <c r="F767" s="1185">
        <v>1</v>
      </c>
      <c r="G767" s="1186"/>
      <c r="H767" s="1186"/>
      <c r="I767" s="1186"/>
      <c r="J767" s="1186"/>
      <c r="K767" s="1186"/>
      <c r="L767" s="1186"/>
      <c r="M767" s="1186"/>
      <c r="N767" s="1186"/>
      <c r="O767" s="1186"/>
      <c r="P767" s="1186"/>
      <c r="Q767" s="1186"/>
      <c r="R767" s="1186"/>
      <c r="S767" s="1186"/>
      <c r="T767" s="1186"/>
      <c r="U767" s="1186"/>
      <c r="V767" s="1186"/>
      <c r="W767" s="1186"/>
      <c r="X767" s="1186"/>
      <c r="Y767" s="1186"/>
      <c r="Z767" s="1186"/>
      <c r="AA767" s="1186">
        <v>24.4</v>
      </c>
      <c r="AB767" s="1186">
        <v>5.4</v>
      </c>
      <c r="AC767" s="1186">
        <v>22.6</v>
      </c>
      <c r="AD767" s="1187">
        <v>3.7</v>
      </c>
    </row>
    <row r="768" spans="1:30" x14ac:dyDescent="0.2">
      <c r="A768">
        <f t="shared" si="45"/>
        <v>21</v>
      </c>
      <c r="B768">
        <v>759</v>
      </c>
      <c r="C768" s="1078">
        <v>3</v>
      </c>
      <c r="D768" s="1077" t="s">
        <v>4729</v>
      </c>
      <c r="E768" s="1077" t="s">
        <v>4771</v>
      </c>
      <c r="F768" s="1185">
        <v>2</v>
      </c>
      <c r="G768" s="1186"/>
      <c r="H768" s="1186"/>
      <c r="I768" s="1186"/>
      <c r="J768" s="1186"/>
      <c r="K768" s="1186"/>
      <c r="L768" s="1186"/>
      <c r="M768" s="1186"/>
      <c r="N768" s="1186"/>
      <c r="O768" s="1186"/>
      <c r="P768" s="1186"/>
      <c r="Q768" s="1186"/>
      <c r="R768" s="1186"/>
      <c r="S768" s="1186"/>
      <c r="T768" s="1186"/>
      <c r="U768" s="1186"/>
      <c r="V768" s="1186"/>
      <c r="W768" s="1186">
        <v>26.2</v>
      </c>
      <c r="X768" s="1186">
        <v>4</v>
      </c>
      <c r="Y768" s="1186">
        <v>23.5</v>
      </c>
      <c r="Z768" s="1186">
        <v>2.7</v>
      </c>
      <c r="AA768" s="1186"/>
      <c r="AB768" s="1186"/>
      <c r="AC768" s="1186"/>
      <c r="AD768" s="1187"/>
    </row>
    <row r="769" spans="1:30" x14ac:dyDescent="0.2">
      <c r="A769">
        <f t="shared" si="45"/>
        <v>21</v>
      </c>
      <c r="B769">
        <v>760</v>
      </c>
      <c r="C769" s="1078">
        <v>3</v>
      </c>
      <c r="D769" s="1077" t="s">
        <v>4729</v>
      </c>
      <c r="E769" s="1077" t="s">
        <v>4772</v>
      </c>
      <c r="F769" s="1185">
        <v>2</v>
      </c>
      <c r="G769" s="1186"/>
      <c r="H769" s="1186"/>
      <c r="I769" s="1186"/>
      <c r="J769" s="1186"/>
      <c r="K769" s="1186"/>
      <c r="L769" s="1186"/>
      <c r="M769" s="1186"/>
      <c r="N769" s="1186"/>
      <c r="O769" s="1186"/>
      <c r="P769" s="1186"/>
      <c r="Q769" s="1186"/>
      <c r="R769" s="1186"/>
      <c r="S769" s="1186"/>
      <c r="T769" s="1186"/>
      <c r="U769" s="1186"/>
      <c r="V769" s="1186"/>
      <c r="W769" s="1186">
        <v>35.5</v>
      </c>
      <c r="X769" s="1186">
        <v>4.3</v>
      </c>
      <c r="Y769" s="1186">
        <v>32.6</v>
      </c>
      <c r="Z769" s="1186">
        <v>2.9</v>
      </c>
      <c r="AA769" s="1186"/>
      <c r="AB769" s="1186"/>
      <c r="AC769" s="1186"/>
      <c r="AD769" s="1187"/>
    </row>
    <row r="770" spans="1:30" x14ac:dyDescent="0.2">
      <c r="A770">
        <f t="shared" si="45"/>
        <v>21</v>
      </c>
      <c r="B770">
        <v>761</v>
      </c>
      <c r="C770" s="1078">
        <v>3</v>
      </c>
      <c r="D770" s="1077" t="s">
        <v>4729</v>
      </c>
      <c r="E770" s="1077" t="s">
        <v>4773</v>
      </c>
      <c r="F770" s="1185">
        <v>2</v>
      </c>
      <c r="G770" s="1186"/>
      <c r="H770" s="1186"/>
      <c r="I770" s="1186"/>
      <c r="J770" s="1186"/>
      <c r="K770" s="1186"/>
      <c r="L770" s="1186"/>
      <c r="M770" s="1186"/>
      <c r="N770" s="1186"/>
      <c r="O770" s="1186"/>
      <c r="P770" s="1186"/>
      <c r="Q770" s="1186"/>
      <c r="R770" s="1186"/>
      <c r="S770" s="1186"/>
      <c r="T770" s="1186"/>
      <c r="U770" s="1186"/>
      <c r="V770" s="1186"/>
      <c r="W770" s="1186">
        <v>45</v>
      </c>
      <c r="X770" s="1186">
        <v>4.3</v>
      </c>
      <c r="Y770" s="1186">
        <v>41.2</v>
      </c>
      <c r="Z770" s="1186">
        <v>3</v>
      </c>
      <c r="AA770" s="1186"/>
      <c r="AB770" s="1186"/>
      <c r="AC770" s="1186"/>
      <c r="AD770" s="1187"/>
    </row>
    <row r="771" spans="1:30" x14ac:dyDescent="0.2">
      <c r="A771">
        <f t="shared" si="45"/>
        <v>21</v>
      </c>
      <c r="B771">
        <v>762</v>
      </c>
      <c r="C771" s="1078">
        <v>3</v>
      </c>
      <c r="D771" s="1077" t="s">
        <v>4729</v>
      </c>
      <c r="E771" s="1077" t="s">
        <v>4774</v>
      </c>
      <c r="F771" s="1185">
        <v>2</v>
      </c>
      <c r="G771" s="1186"/>
      <c r="H771" s="1186"/>
      <c r="I771" s="1186"/>
      <c r="J771" s="1186"/>
      <c r="K771" s="1186"/>
      <c r="L771" s="1186"/>
      <c r="M771" s="1186"/>
      <c r="N771" s="1186"/>
      <c r="O771" s="1186"/>
      <c r="P771" s="1186"/>
      <c r="Q771" s="1186"/>
      <c r="R771" s="1186"/>
      <c r="S771" s="1186"/>
      <c r="T771" s="1186"/>
      <c r="U771" s="1186"/>
      <c r="V771" s="1186"/>
      <c r="W771" s="1186">
        <v>55</v>
      </c>
      <c r="X771" s="1186">
        <v>4.3</v>
      </c>
      <c r="Y771" s="1186">
        <v>49.4</v>
      </c>
      <c r="Z771" s="1186">
        <v>3</v>
      </c>
      <c r="AA771" s="1186"/>
      <c r="AB771" s="1186"/>
      <c r="AC771" s="1186"/>
      <c r="AD771" s="1187"/>
    </row>
    <row r="772" spans="1:30" x14ac:dyDescent="0.2">
      <c r="A772">
        <f t="shared" si="45"/>
        <v>21</v>
      </c>
      <c r="B772">
        <v>763</v>
      </c>
      <c r="C772" s="1078">
        <v>4</v>
      </c>
      <c r="D772" s="1077" t="s">
        <v>4729</v>
      </c>
      <c r="E772" s="1077" t="s">
        <v>4771</v>
      </c>
      <c r="F772" s="1185">
        <v>2</v>
      </c>
      <c r="G772" s="1186"/>
      <c r="H772" s="1186"/>
      <c r="I772" s="1186"/>
      <c r="J772" s="1186"/>
      <c r="K772" s="1186"/>
      <c r="L772" s="1186"/>
      <c r="M772" s="1186"/>
      <c r="N772" s="1186"/>
      <c r="O772" s="1186"/>
      <c r="P772" s="1186"/>
      <c r="Q772" s="1186"/>
      <c r="R772" s="1186"/>
      <c r="S772" s="1186"/>
      <c r="T772" s="1186"/>
      <c r="U772" s="1186"/>
      <c r="V772" s="1186"/>
      <c r="W772" s="1186"/>
      <c r="X772" s="1186"/>
      <c r="Y772" s="1186"/>
      <c r="Z772" s="1186"/>
      <c r="AA772" s="1186">
        <v>36</v>
      </c>
      <c r="AB772" s="1186">
        <v>4.9000000000000004</v>
      </c>
      <c r="AC772" s="1186">
        <v>32.700000000000003</v>
      </c>
      <c r="AD772" s="1187">
        <v>3.5</v>
      </c>
    </row>
    <row r="773" spans="1:30" x14ac:dyDescent="0.2">
      <c r="A773">
        <f t="shared" si="45"/>
        <v>21</v>
      </c>
      <c r="B773">
        <v>764</v>
      </c>
      <c r="C773" s="1078">
        <v>4</v>
      </c>
      <c r="D773" s="1077" t="s">
        <v>4729</v>
      </c>
      <c r="E773" s="1077" t="s">
        <v>4772</v>
      </c>
      <c r="F773" s="1185">
        <v>2</v>
      </c>
      <c r="G773" s="1186"/>
      <c r="H773" s="1186"/>
      <c r="I773" s="1186"/>
      <c r="J773" s="1186"/>
      <c r="K773" s="1186"/>
      <c r="L773" s="1186"/>
      <c r="M773" s="1186"/>
      <c r="N773" s="1186"/>
      <c r="O773" s="1186"/>
      <c r="P773" s="1186"/>
      <c r="Q773" s="1186"/>
      <c r="R773" s="1186"/>
      <c r="S773" s="1186"/>
      <c r="T773" s="1186"/>
      <c r="U773" s="1186"/>
      <c r="V773" s="1186"/>
      <c r="W773" s="1186"/>
      <c r="X773" s="1186"/>
      <c r="Y773" s="1186"/>
      <c r="Z773" s="1186"/>
      <c r="AA773" s="1186">
        <v>47.7</v>
      </c>
      <c r="AB773" s="1186">
        <v>5.3</v>
      </c>
      <c r="AC773" s="1186">
        <v>44.3</v>
      </c>
      <c r="AD773" s="1187">
        <v>3.6</v>
      </c>
    </row>
    <row r="774" spans="1:30" x14ac:dyDescent="0.2">
      <c r="A774">
        <f t="shared" si="45"/>
        <v>21</v>
      </c>
      <c r="B774">
        <v>765</v>
      </c>
      <c r="C774" s="1078">
        <v>4</v>
      </c>
      <c r="D774" s="1077" t="s">
        <v>4729</v>
      </c>
      <c r="E774" s="1077" t="s">
        <v>4773</v>
      </c>
      <c r="F774" s="1185">
        <v>2</v>
      </c>
      <c r="G774" s="1186"/>
      <c r="H774" s="1186"/>
      <c r="I774" s="1186"/>
      <c r="J774" s="1186"/>
      <c r="K774" s="1186"/>
      <c r="L774" s="1186"/>
      <c r="M774" s="1186"/>
      <c r="N774" s="1186"/>
      <c r="O774" s="1186"/>
      <c r="P774" s="1186"/>
      <c r="Q774" s="1186"/>
      <c r="R774" s="1186"/>
      <c r="S774" s="1186"/>
      <c r="T774" s="1186"/>
      <c r="U774" s="1186"/>
      <c r="V774" s="1186"/>
      <c r="W774" s="1186"/>
      <c r="X774" s="1186"/>
      <c r="Y774" s="1186"/>
      <c r="Z774" s="1186"/>
      <c r="AA774" s="1186">
        <v>61.2</v>
      </c>
      <c r="AB774" s="1186">
        <v>5.2</v>
      </c>
      <c r="AC774" s="1186">
        <v>56.6</v>
      </c>
      <c r="AD774" s="1187">
        <v>3.7</v>
      </c>
    </row>
    <row r="775" spans="1:30" x14ac:dyDescent="0.2">
      <c r="A775">
        <f t="shared" si="45"/>
        <v>21</v>
      </c>
      <c r="B775">
        <v>766</v>
      </c>
      <c r="C775" s="1078">
        <v>4</v>
      </c>
      <c r="D775" s="1077" t="s">
        <v>4729</v>
      </c>
      <c r="E775" s="1077" t="s">
        <v>4774</v>
      </c>
      <c r="F775" s="1185">
        <v>2</v>
      </c>
      <c r="G775" s="1186"/>
      <c r="H775" s="1186"/>
      <c r="I775" s="1186"/>
      <c r="J775" s="1186"/>
      <c r="K775" s="1186"/>
      <c r="L775" s="1186"/>
      <c r="M775" s="1186"/>
      <c r="N775" s="1186"/>
      <c r="O775" s="1186"/>
      <c r="P775" s="1186"/>
      <c r="Q775" s="1186"/>
      <c r="R775" s="1186"/>
      <c r="S775" s="1186"/>
      <c r="T775" s="1186"/>
      <c r="U775" s="1186"/>
      <c r="V775" s="1186"/>
      <c r="W775" s="1186"/>
      <c r="X775" s="1186"/>
      <c r="Y775" s="1186"/>
      <c r="Z775" s="1186"/>
      <c r="AA775" s="1186">
        <v>74.2</v>
      </c>
      <c r="AB775" s="1186">
        <v>5.2</v>
      </c>
      <c r="AC775" s="1186">
        <v>67.900000000000006</v>
      </c>
      <c r="AD775" s="1187">
        <v>3.6</v>
      </c>
    </row>
    <row r="776" spans="1:30" x14ac:dyDescent="0.2">
      <c r="A776">
        <f t="shared" si="45"/>
        <v>21</v>
      </c>
      <c r="B776">
        <v>767</v>
      </c>
      <c r="C776" s="1078">
        <v>3</v>
      </c>
      <c r="D776" s="1077" t="s">
        <v>4729</v>
      </c>
      <c r="E776" s="1077" t="s">
        <v>4775</v>
      </c>
      <c r="F776" s="1185">
        <v>4</v>
      </c>
      <c r="G776" s="1186"/>
      <c r="H776" s="1186"/>
      <c r="I776" s="1186"/>
      <c r="J776" s="1186"/>
      <c r="K776" s="1186"/>
      <c r="L776" s="1186"/>
      <c r="M776" s="1186"/>
      <c r="N776" s="1186"/>
      <c r="O776" s="1186"/>
      <c r="P776" s="1186"/>
      <c r="Q776" s="1186"/>
      <c r="R776" s="1186"/>
      <c r="S776" s="1186"/>
      <c r="T776" s="1186"/>
      <c r="U776" s="1186"/>
      <c r="V776" s="1186"/>
      <c r="W776" s="1186">
        <v>5.6</v>
      </c>
      <c r="X776" s="1186">
        <v>4.7</v>
      </c>
      <c r="Y776" s="1186">
        <v>5.7</v>
      </c>
      <c r="Z776" s="1186">
        <v>2.8</v>
      </c>
      <c r="AA776" s="1186"/>
      <c r="AB776" s="1186"/>
      <c r="AC776" s="1186"/>
      <c r="AD776" s="1187"/>
    </row>
    <row r="777" spans="1:30" x14ac:dyDescent="0.2">
      <c r="A777">
        <f t="shared" si="45"/>
        <v>21</v>
      </c>
      <c r="B777">
        <v>768</v>
      </c>
      <c r="C777" s="1078">
        <v>3</v>
      </c>
      <c r="D777" s="1077" t="s">
        <v>4729</v>
      </c>
      <c r="E777" s="1077" t="s">
        <v>4776</v>
      </c>
      <c r="F777" s="1185">
        <v>4</v>
      </c>
      <c r="G777" s="1186"/>
      <c r="H777" s="1186"/>
      <c r="I777" s="1186"/>
      <c r="J777" s="1186"/>
      <c r="K777" s="1186"/>
      <c r="L777" s="1186"/>
      <c r="M777" s="1186"/>
      <c r="N777" s="1186"/>
      <c r="O777" s="1186"/>
      <c r="P777" s="1186"/>
      <c r="Q777" s="1186"/>
      <c r="R777" s="1186"/>
      <c r="S777" s="1186"/>
      <c r="T777" s="1186"/>
      <c r="U777" s="1186"/>
      <c r="V777" s="1186"/>
      <c r="W777" s="1186">
        <v>8.9</v>
      </c>
      <c r="X777" s="1186">
        <v>4.7</v>
      </c>
      <c r="Y777" s="1186">
        <v>9.1</v>
      </c>
      <c r="Z777" s="1186">
        <v>2.9</v>
      </c>
      <c r="AA777" s="1186"/>
      <c r="AB777" s="1186"/>
      <c r="AC777" s="1186"/>
      <c r="AD777" s="1187"/>
    </row>
    <row r="778" spans="1:30" x14ac:dyDescent="0.2">
      <c r="A778">
        <f t="shared" si="45"/>
        <v>21</v>
      </c>
      <c r="B778">
        <v>769</v>
      </c>
      <c r="C778" s="1078">
        <v>3</v>
      </c>
      <c r="D778" s="1077" t="s">
        <v>4729</v>
      </c>
      <c r="E778" s="1077" t="s">
        <v>4777</v>
      </c>
      <c r="F778" s="1185">
        <v>4</v>
      </c>
      <c r="G778" s="1186"/>
      <c r="H778" s="1186"/>
      <c r="I778" s="1186"/>
      <c r="J778" s="1186"/>
      <c r="K778" s="1186"/>
      <c r="L778" s="1186"/>
      <c r="M778" s="1186"/>
      <c r="N778" s="1186"/>
      <c r="O778" s="1186"/>
      <c r="P778" s="1186"/>
      <c r="Q778" s="1186"/>
      <c r="R778" s="1186"/>
      <c r="S778" s="1186"/>
      <c r="T778" s="1186"/>
      <c r="U778" s="1186"/>
      <c r="V778" s="1186"/>
      <c r="W778" s="1186">
        <v>14.1</v>
      </c>
      <c r="X778" s="1186">
        <v>4.5</v>
      </c>
      <c r="Y778" s="1186">
        <v>14.1</v>
      </c>
      <c r="Z778" s="1186">
        <v>2.8</v>
      </c>
      <c r="AA778" s="1186"/>
      <c r="AB778" s="1186"/>
      <c r="AC778" s="1186"/>
      <c r="AD778" s="1187"/>
    </row>
    <row r="779" spans="1:30" x14ac:dyDescent="0.2">
      <c r="A779">
        <f t="shared" si="45"/>
        <v>21</v>
      </c>
      <c r="B779">
        <v>770</v>
      </c>
      <c r="C779" s="1078">
        <v>3</v>
      </c>
      <c r="D779" s="1077" t="s">
        <v>4729</v>
      </c>
      <c r="E779" s="1077" t="s">
        <v>4778</v>
      </c>
      <c r="F779" s="1185">
        <v>4</v>
      </c>
      <c r="G779" s="1186"/>
      <c r="H779" s="1186"/>
      <c r="I779" s="1186"/>
      <c r="J779" s="1186"/>
      <c r="K779" s="1186"/>
      <c r="L779" s="1186"/>
      <c r="M779" s="1186"/>
      <c r="N779" s="1186"/>
      <c r="O779" s="1186"/>
      <c r="P779" s="1186"/>
      <c r="Q779" s="1186"/>
      <c r="R779" s="1186"/>
      <c r="S779" s="1186"/>
      <c r="T779" s="1186"/>
      <c r="U779" s="1186"/>
      <c r="V779" s="1186"/>
      <c r="W779" s="1186">
        <v>5.6</v>
      </c>
      <c r="X779" s="1186">
        <v>4.7</v>
      </c>
      <c r="Y779" s="1186">
        <v>5.7</v>
      </c>
      <c r="Z779" s="1186">
        <v>2.8</v>
      </c>
      <c r="AA779" s="1186"/>
      <c r="AB779" s="1186"/>
      <c r="AC779" s="1186"/>
      <c r="AD779" s="1187"/>
    </row>
    <row r="780" spans="1:30" x14ac:dyDescent="0.2">
      <c r="A780">
        <f t="shared" ref="A780:A843" si="46">A779+(D780&lt;&gt;D779)*1</f>
        <v>21</v>
      </c>
      <c r="B780">
        <v>771</v>
      </c>
      <c r="C780" s="1078">
        <v>3</v>
      </c>
      <c r="D780" s="1077" t="s">
        <v>4729</v>
      </c>
      <c r="E780" s="1077" t="s">
        <v>4779</v>
      </c>
      <c r="F780" s="1185">
        <v>4</v>
      </c>
      <c r="G780" s="1186"/>
      <c r="H780" s="1186"/>
      <c r="I780" s="1186"/>
      <c r="J780" s="1186"/>
      <c r="K780" s="1186"/>
      <c r="L780" s="1186"/>
      <c r="M780" s="1186"/>
      <c r="N780" s="1186"/>
      <c r="O780" s="1186"/>
      <c r="P780" s="1186"/>
      <c r="Q780" s="1186"/>
      <c r="R780" s="1186"/>
      <c r="S780" s="1186"/>
      <c r="T780" s="1186"/>
      <c r="U780" s="1186"/>
      <c r="V780" s="1186"/>
      <c r="W780" s="1186">
        <v>8.9</v>
      </c>
      <c r="X780" s="1186">
        <v>4.7</v>
      </c>
      <c r="Y780" s="1186">
        <v>9.1</v>
      </c>
      <c r="Z780" s="1186">
        <v>2.9</v>
      </c>
      <c r="AA780" s="1186"/>
      <c r="AB780" s="1186"/>
      <c r="AC780" s="1186"/>
      <c r="AD780" s="1187"/>
    </row>
    <row r="781" spans="1:30" x14ac:dyDescent="0.2">
      <c r="A781">
        <f t="shared" si="46"/>
        <v>21</v>
      </c>
      <c r="B781">
        <v>772</v>
      </c>
      <c r="C781" s="1078">
        <v>3</v>
      </c>
      <c r="D781" s="1077" t="s">
        <v>4729</v>
      </c>
      <c r="E781" s="1077" t="s">
        <v>4780</v>
      </c>
      <c r="F781" s="1185">
        <v>4</v>
      </c>
      <c r="G781" s="1186"/>
      <c r="H781" s="1186"/>
      <c r="I781" s="1186"/>
      <c r="J781" s="1186"/>
      <c r="K781" s="1186"/>
      <c r="L781" s="1186"/>
      <c r="M781" s="1186"/>
      <c r="N781" s="1186"/>
      <c r="O781" s="1186"/>
      <c r="P781" s="1186"/>
      <c r="Q781" s="1186"/>
      <c r="R781" s="1186"/>
      <c r="S781" s="1186"/>
      <c r="T781" s="1186"/>
      <c r="U781" s="1186"/>
      <c r="V781" s="1186"/>
      <c r="W781" s="1186">
        <v>14.1</v>
      </c>
      <c r="X781" s="1186">
        <v>4.5</v>
      </c>
      <c r="Y781" s="1186">
        <v>14.1</v>
      </c>
      <c r="Z781" s="1186">
        <v>2.8</v>
      </c>
      <c r="AA781" s="1186"/>
      <c r="AB781" s="1186"/>
      <c r="AC781" s="1186"/>
      <c r="AD781" s="1187"/>
    </row>
    <row r="782" spans="1:30" x14ac:dyDescent="0.2">
      <c r="A782">
        <f t="shared" si="46"/>
        <v>21</v>
      </c>
      <c r="B782">
        <v>773</v>
      </c>
      <c r="C782" s="1078">
        <v>3</v>
      </c>
      <c r="D782" s="1077" t="s">
        <v>4729</v>
      </c>
      <c r="E782" s="1077" t="s">
        <v>4111</v>
      </c>
      <c r="F782" s="1185">
        <v>1</v>
      </c>
      <c r="G782" s="1186"/>
      <c r="H782" s="1186"/>
      <c r="I782" s="1186"/>
      <c r="J782" s="1186"/>
      <c r="K782" s="1186"/>
      <c r="L782" s="1186"/>
      <c r="M782" s="1186"/>
      <c r="N782" s="1186"/>
      <c r="O782" s="1186"/>
      <c r="P782" s="1186"/>
      <c r="Q782" s="1186"/>
      <c r="R782" s="1186"/>
      <c r="S782" s="1186"/>
      <c r="T782" s="1186"/>
      <c r="U782" s="1186"/>
      <c r="V782" s="1186"/>
      <c r="W782" s="1186">
        <v>6.1</v>
      </c>
      <c r="X782" s="1186">
        <v>4.7</v>
      </c>
      <c r="Y782" s="1186">
        <v>5.5</v>
      </c>
      <c r="Z782" s="1186">
        <v>2.8</v>
      </c>
      <c r="AA782" s="1186"/>
      <c r="AB782" s="1186"/>
      <c r="AC782" s="1186"/>
      <c r="AD782" s="1194"/>
    </row>
    <row r="783" spans="1:30" x14ac:dyDescent="0.2">
      <c r="A783">
        <f t="shared" si="46"/>
        <v>21</v>
      </c>
      <c r="B783">
        <v>774</v>
      </c>
      <c r="C783" s="1078">
        <v>3</v>
      </c>
      <c r="D783" s="1077" t="s">
        <v>4729</v>
      </c>
      <c r="E783" s="1077" t="s">
        <v>4115</v>
      </c>
      <c r="F783" s="1185">
        <v>1</v>
      </c>
      <c r="G783" s="1186"/>
      <c r="H783" s="1186"/>
      <c r="I783" s="1186"/>
      <c r="J783" s="1186"/>
      <c r="K783" s="1186"/>
      <c r="L783" s="1186"/>
      <c r="M783" s="1186"/>
      <c r="N783" s="1186"/>
      <c r="O783" s="1186"/>
      <c r="P783" s="1186"/>
      <c r="Q783" s="1186"/>
      <c r="R783" s="1186"/>
      <c r="S783" s="1186"/>
      <c r="T783" s="1186"/>
      <c r="U783" s="1186"/>
      <c r="V783" s="1186"/>
      <c r="W783" s="1186">
        <v>8.1</v>
      </c>
      <c r="X783" s="1186">
        <v>4.8</v>
      </c>
      <c r="Y783" s="1186">
        <v>7.2</v>
      </c>
      <c r="Z783" s="1186">
        <v>2.8</v>
      </c>
      <c r="AA783" s="1186"/>
      <c r="AB783" s="1186"/>
      <c r="AC783" s="1186"/>
      <c r="AD783" s="1195"/>
    </row>
    <row r="784" spans="1:30" x14ac:dyDescent="0.2">
      <c r="A784">
        <f t="shared" si="46"/>
        <v>21</v>
      </c>
      <c r="B784">
        <v>775</v>
      </c>
      <c r="C784" s="1078">
        <v>3</v>
      </c>
      <c r="D784" s="1077" t="s">
        <v>4729</v>
      </c>
      <c r="E784" s="1077" t="s">
        <v>4119</v>
      </c>
      <c r="F784" s="1185">
        <v>1</v>
      </c>
      <c r="G784" s="1186"/>
      <c r="H784" s="1186"/>
      <c r="I784" s="1186"/>
      <c r="J784" s="1186"/>
      <c r="K784" s="1186"/>
      <c r="L784" s="1186"/>
      <c r="M784" s="1186"/>
      <c r="N784" s="1186"/>
      <c r="O784" s="1186"/>
      <c r="P784" s="1186"/>
      <c r="Q784" s="1186"/>
      <c r="R784" s="1186"/>
      <c r="S784" s="1186"/>
      <c r="T784" s="1186"/>
      <c r="U784" s="1186"/>
      <c r="V784" s="1186"/>
      <c r="W784" s="1186">
        <v>10.9</v>
      </c>
      <c r="X784" s="1186">
        <v>4.9000000000000004</v>
      </c>
      <c r="Y784" s="1186">
        <v>10</v>
      </c>
      <c r="Z784" s="1186">
        <v>2.9</v>
      </c>
      <c r="AA784" s="1186"/>
      <c r="AB784" s="1186"/>
      <c r="AC784" s="1186"/>
      <c r="AD784" s="1187"/>
    </row>
    <row r="785" spans="1:30" x14ac:dyDescent="0.2">
      <c r="A785">
        <f t="shared" si="46"/>
        <v>21</v>
      </c>
      <c r="B785">
        <v>776</v>
      </c>
      <c r="C785" s="1078">
        <v>3</v>
      </c>
      <c r="D785" s="1077" t="s">
        <v>4729</v>
      </c>
      <c r="E785" s="1077" t="s">
        <v>4122</v>
      </c>
      <c r="F785" s="1185">
        <v>1</v>
      </c>
      <c r="G785" s="1186"/>
      <c r="H785" s="1186"/>
      <c r="I785" s="1186"/>
      <c r="J785" s="1186"/>
      <c r="K785" s="1186"/>
      <c r="L785" s="1186"/>
      <c r="M785" s="1186"/>
      <c r="N785" s="1186"/>
      <c r="O785" s="1186"/>
      <c r="P785" s="1186"/>
      <c r="Q785" s="1186"/>
      <c r="R785" s="1186"/>
      <c r="S785" s="1186"/>
      <c r="T785" s="1186"/>
      <c r="U785" s="1186"/>
      <c r="V785" s="1186"/>
      <c r="W785" s="1186">
        <v>13.9</v>
      </c>
      <c r="X785" s="1186">
        <v>5</v>
      </c>
      <c r="Y785" s="1186">
        <v>12.8</v>
      </c>
      <c r="Z785" s="1186">
        <v>3</v>
      </c>
      <c r="AA785" s="1186"/>
      <c r="AB785" s="1186"/>
      <c r="AC785" s="1186"/>
      <c r="AD785" s="1187"/>
    </row>
    <row r="786" spans="1:30" x14ac:dyDescent="0.2">
      <c r="A786">
        <f t="shared" si="46"/>
        <v>21</v>
      </c>
      <c r="B786">
        <v>777</v>
      </c>
      <c r="C786" s="1078">
        <v>3</v>
      </c>
      <c r="D786" s="1077" t="s">
        <v>4729</v>
      </c>
      <c r="E786" s="1077" t="s">
        <v>4123</v>
      </c>
      <c r="F786" s="1185">
        <v>1</v>
      </c>
      <c r="G786" s="1186"/>
      <c r="H786" s="1186"/>
      <c r="I786" s="1186"/>
      <c r="J786" s="1186"/>
      <c r="K786" s="1186"/>
      <c r="L786" s="1186"/>
      <c r="M786" s="1186"/>
      <c r="N786" s="1186"/>
      <c r="O786" s="1186"/>
      <c r="P786" s="1186"/>
      <c r="Q786" s="1186"/>
      <c r="R786" s="1186"/>
      <c r="S786" s="1186"/>
      <c r="T786" s="1186"/>
      <c r="U786" s="1186"/>
      <c r="V786" s="1186"/>
      <c r="W786" s="1186">
        <v>17.5</v>
      </c>
      <c r="X786" s="1186">
        <v>4.7</v>
      </c>
      <c r="Y786" s="1186">
        <v>16.5</v>
      </c>
      <c r="Z786" s="1186">
        <v>2.9</v>
      </c>
      <c r="AA786" s="1186"/>
      <c r="AB786" s="1186"/>
      <c r="AC786" s="1186"/>
      <c r="AD786" s="1187"/>
    </row>
    <row r="787" spans="1:30" x14ac:dyDescent="0.2">
      <c r="A787">
        <f t="shared" si="46"/>
        <v>21</v>
      </c>
      <c r="B787">
        <v>778</v>
      </c>
      <c r="C787" s="1078">
        <v>3</v>
      </c>
      <c r="D787" s="1077" t="s">
        <v>4729</v>
      </c>
      <c r="E787" s="1077" t="s">
        <v>4781</v>
      </c>
      <c r="F787" s="1185">
        <v>1</v>
      </c>
      <c r="G787" s="1186"/>
      <c r="H787" s="1186"/>
      <c r="I787" s="1186"/>
      <c r="J787" s="1186"/>
      <c r="K787" s="1186"/>
      <c r="L787" s="1186"/>
      <c r="M787" s="1186"/>
      <c r="N787" s="1186"/>
      <c r="O787" s="1186"/>
      <c r="P787" s="1186"/>
      <c r="Q787" s="1186"/>
      <c r="R787" s="1186"/>
      <c r="S787" s="1186"/>
      <c r="T787" s="1186"/>
      <c r="U787" s="1186"/>
      <c r="V787" s="1186"/>
      <c r="W787" s="1186">
        <v>22.9</v>
      </c>
      <c r="X787" s="1186">
        <v>4.4000000000000004</v>
      </c>
      <c r="Y787" s="1186">
        <v>21.5</v>
      </c>
      <c r="Z787" s="1186">
        <v>2.9</v>
      </c>
      <c r="AA787" s="1186"/>
      <c r="AB787" s="1186"/>
      <c r="AC787" s="1186"/>
      <c r="AD787" s="1187"/>
    </row>
    <row r="788" spans="1:30" x14ac:dyDescent="0.2">
      <c r="A788">
        <f t="shared" si="46"/>
        <v>21</v>
      </c>
      <c r="B788">
        <v>779</v>
      </c>
      <c r="C788" s="1078">
        <v>3</v>
      </c>
      <c r="D788" s="1077" t="s">
        <v>4729</v>
      </c>
      <c r="E788" s="1077" t="s">
        <v>4125</v>
      </c>
      <c r="F788" s="1185">
        <v>2</v>
      </c>
      <c r="G788" s="1186"/>
      <c r="H788" s="1186"/>
      <c r="I788" s="1186"/>
      <c r="J788" s="1186"/>
      <c r="K788" s="1186"/>
      <c r="L788" s="1186"/>
      <c r="M788" s="1186"/>
      <c r="N788" s="1186"/>
      <c r="O788" s="1186"/>
      <c r="P788" s="1186"/>
      <c r="Q788" s="1186"/>
      <c r="R788" s="1186"/>
      <c r="S788" s="1186"/>
      <c r="T788" s="1186"/>
      <c r="U788" s="1186"/>
      <c r="V788" s="1186"/>
      <c r="W788" s="1186">
        <v>26.7</v>
      </c>
      <c r="X788" s="1186">
        <v>4.9000000000000004</v>
      </c>
      <c r="Y788" s="1186">
        <v>24.7</v>
      </c>
      <c r="Z788" s="1186">
        <v>3.1</v>
      </c>
      <c r="AA788" s="1186"/>
      <c r="AB788" s="1186"/>
      <c r="AC788" s="1186"/>
      <c r="AD788" s="1187"/>
    </row>
    <row r="789" spans="1:30" x14ac:dyDescent="0.2">
      <c r="A789">
        <f t="shared" si="46"/>
        <v>21</v>
      </c>
      <c r="B789">
        <v>780</v>
      </c>
      <c r="C789" s="1078">
        <v>3</v>
      </c>
      <c r="D789" s="1077" t="s">
        <v>4729</v>
      </c>
      <c r="E789" s="1077" t="s">
        <v>4126</v>
      </c>
      <c r="F789" s="1185">
        <v>2</v>
      </c>
      <c r="G789" s="1186"/>
      <c r="H789" s="1186"/>
      <c r="I789" s="1186"/>
      <c r="J789" s="1186"/>
      <c r="K789" s="1186"/>
      <c r="L789" s="1186"/>
      <c r="M789" s="1186"/>
      <c r="N789" s="1186"/>
      <c r="O789" s="1186"/>
      <c r="P789" s="1186"/>
      <c r="Q789" s="1186"/>
      <c r="R789" s="1186"/>
      <c r="S789" s="1186"/>
      <c r="T789" s="1186"/>
      <c r="U789" s="1186"/>
      <c r="V789" s="1186"/>
      <c r="W789" s="1186">
        <v>34.799999999999997</v>
      </c>
      <c r="X789" s="1186">
        <v>4.8</v>
      </c>
      <c r="Y789" s="1186">
        <v>32.1</v>
      </c>
      <c r="Z789" s="1186">
        <v>3</v>
      </c>
      <c r="AA789" s="1186"/>
      <c r="AB789" s="1186"/>
      <c r="AC789" s="1186"/>
      <c r="AD789" s="1187"/>
    </row>
    <row r="790" spans="1:30" x14ac:dyDescent="0.2">
      <c r="A790">
        <f t="shared" si="46"/>
        <v>21</v>
      </c>
      <c r="B790">
        <v>781</v>
      </c>
      <c r="C790" s="1078">
        <v>3</v>
      </c>
      <c r="D790" s="1077" t="s">
        <v>4729</v>
      </c>
      <c r="E790" s="1077" t="s">
        <v>4127</v>
      </c>
      <c r="F790" s="1185">
        <v>2</v>
      </c>
      <c r="G790" s="1186"/>
      <c r="H790" s="1186"/>
      <c r="I790" s="1186"/>
      <c r="J790" s="1186"/>
      <c r="K790" s="1186"/>
      <c r="L790" s="1186"/>
      <c r="M790" s="1186"/>
      <c r="N790" s="1186"/>
      <c r="O790" s="1186"/>
      <c r="P790" s="1186"/>
      <c r="Q790" s="1186"/>
      <c r="R790" s="1186"/>
      <c r="S790" s="1186"/>
      <c r="T790" s="1186"/>
      <c r="U790" s="1186"/>
      <c r="V790" s="1186"/>
      <c r="W790" s="1186">
        <v>52</v>
      </c>
      <c r="X790" s="1186">
        <v>5</v>
      </c>
      <c r="Y790" s="1186">
        <v>44.1</v>
      </c>
      <c r="Z790" s="1186">
        <v>2.8</v>
      </c>
      <c r="AA790" s="1186"/>
      <c r="AB790" s="1186"/>
      <c r="AC790" s="1186"/>
      <c r="AD790" s="1187"/>
    </row>
    <row r="791" spans="1:30" x14ac:dyDescent="0.2">
      <c r="A791">
        <f t="shared" si="46"/>
        <v>21</v>
      </c>
      <c r="B791">
        <v>782</v>
      </c>
      <c r="C791" s="1078">
        <v>3</v>
      </c>
      <c r="D791" s="1077" t="s">
        <v>4729</v>
      </c>
      <c r="E791" s="1077" t="s">
        <v>4128</v>
      </c>
      <c r="F791" s="1185">
        <v>2</v>
      </c>
      <c r="G791" s="1186"/>
      <c r="H791" s="1186"/>
      <c r="I791" s="1186"/>
      <c r="J791" s="1186"/>
      <c r="K791" s="1186"/>
      <c r="L791" s="1186"/>
      <c r="M791" s="1186"/>
      <c r="N791" s="1186"/>
      <c r="O791" s="1186"/>
      <c r="P791" s="1186"/>
      <c r="Q791" s="1186"/>
      <c r="R791" s="1186"/>
      <c r="S791" s="1186"/>
      <c r="T791" s="1186"/>
      <c r="U791" s="1186"/>
      <c r="V791" s="1186"/>
      <c r="W791" s="1186">
        <v>73.5</v>
      </c>
      <c r="X791" s="1186">
        <v>4.8</v>
      </c>
      <c r="Y791" s="1186">
        <v>67.3</v>
      </c>
      <c r="Z791" s="1186">
        <v>3</v>
      </c>
      <c r="AA791" s="1186"/>
      <c r="AB791" s="1186"/>
      <c r="AC791" s="1186"/>
      <c r="AD791" s="1187"/>
    </row>
    <row r="792" spans="1:30" x14ac:dyDescent="0.2">
      <c r="A792">
        <f t="shared" si="46"/>
        <v>21</v>
      </c>
      <c r="B792">
        <v>783</v>
      </c>
      <c r="C792" s="1078">
        <v>3</v>
      </c>
      <c r="D792" s="1077" t="s">
        <v>4729</v>
      </c>
      <c r="E792" s="1077" t="s">
        <v>4782</v>
      </c>
      <c r="F792" s="1185">
        <v>2</v>
      </c>
      <c r="G792" s="1186"/>
      <c r="H792" s="1186"/>
      <c r="I792" s="1186"/>
      <c r="J792" s="1186"/>
      <c r="K792" s="1186"/>
      <c r="L792" s="1186"/>
      <c r="M792" s="1186"/>
      <c r="N792" s="1186"/>
      <c r="O792" s="1186"/>
      <c r="P792" s="1186"/>
      <c r="Q792" s="1186"/>
      <c r="R792" s="1186"/>
      <c r="S792" s="1186"/>
      <c r="T792" s="1186"/>
      <c r="U792" s="1186"/>
      <c r="V792" s="1186"/>
      <c r="W792" s="1186">
        <v>86</v>
      </c>
      <c r="X792" s="1186">
        <v>4.7</v>
      </c>
      <c r="Y792" s="1186">
        <v>78.900000000000006</v>
      </c>
      <c r="Z792" s="1186">
        <v>3</v>
      </c>
      <c r="AA792" s="1186"/>
      <c r="AB792" s="1186"/>
      <c r="AC792" s="1186"/>
      <c r="AD792" s="1187"/>
    </row>
    <row r="793" spans="1:30" x14ac:dyDescent="0.2">
      <c r="A793">
        <f t="shared" si="46"/>
        <v>21</v>
      </c>
      <c r="B793">
        <v>784</v>
      </c>
      <c r="C793" s="1078">
        <v>3</v>
      </c>
      <c r="D793" s="1077" t="s">
        <v>4729</v>
      </c>
      <c r="E793" s="1077" t="s">
        <v>4783</v>
      </c>
      <c r="F793" s="1185">
        <v>2</v>
      </c>
      <c r="G793" s="1186"/>
      <c r="H793" s="1186"/>
      <c r="I793" s="1186"/>
      <c r="J793" s="1186"/>
      <c r="K793" s="1186"/>
      <c r="L793" s="1186"/>
      <c r="M793" s="1186"/>
      <c r="N793" s="1186"/>
      <c r="O793" s="1186"/>
      <c r="P793" s="1186"/>
      <c r="Q793" s="1186"/>
      <c r="R793" s="1186"/>
      <c r="S793" s="1186"/>
      <c r="T793" s="1186"/>
      <c r="U793" s="1186"/>
      <c r="V793" s="1186"/>
      <c r="W793" s="1186">
        <v>138.1</v>
      </c>
      <c r="X793" s="1186">
        <v>4.5999999999999996</v>
      </c>
      <c r="Y793" s="1186">
        <v>129.6</v>
      </c>
      <c r="Z793" s="1186">
        <v>3.1</v>
      </c>
      <c r="AA793" s="1186"/>
      <c r="AB793" s="1186"/>
      <c r="AC793" s="1186"/>
      <c r="AD793" s="1187"/>
    </row>
    <row r="794" spans="1:30" x14ac:dyDescent="0.2">
      <c r="A794">
        <f t="shared" si="46"/>
        <v>21</v>
      </c>
      <c r="B794">
        <v>785</v>
      </c>
      <c r="C794" s="1078">
        <v>3</v>
      </c>
      <c r="D794" s="1077" t="s">
        <v>4729</v>
      </c>
      <c r="E794" s="1077" t="s">
        <v>4109</v>
      </c>
      <c r="F794" s="1185">
        <v>1</v>
      </c>
      <c r="G794" s="1186"/>
      <c r="H794" s="1186"/>
      <c r="I794" s="1186"/>
      <c r="J794" s="1186"/>
      <c r="K794" s="1186"/>
      <c r="L794" s="1186"/>
      <c r="M794" s="1186"/>
      <c r="N794" s="1186"/>
      <c r="O794" s="1186"/>
      <c r="P794" s="1186"/>
      <c r="Q794" s="1186"/>
      <c r="R794" s="1186"/>
      <c r="S794" s="1186"/>
      <c r="T794" s="1186"/>
      <c r="U794" s="1186"/>
      <c r="V794" s="1186"/>
      <c r="W794" s="1186">
        <v>5.9</v>
      </c>
      <c r="X794" s="1186">
        <v>4.7</v>
      </c>
      <c r="Y794" s="1186">
        <v>5.4</v>
      </c>
      <c r="Z794" s="1186">
        <v>2.9</v>
      </c>
      <c r="AA794" s="1186"/>
      <c r="AB794" s="1186"/>
      <c r="AC794" s="1186"/>
      <c r="AD794" s="1187"/>
    </row>
    <row r="795" spans="1:30" x14ac:dyDescent="0.2">
      <c r="A795">
        <f t="shared" si="46"/>
        <v>21</v>
      </c>
      <c r="B795">
        <v>786</v>
      </c>
      <c r="C795" s="1078">
        <v>3</v>
      </c>
      <c r="D795" s="1077" t="s">
        <v>4729</v>
      </c>
      <c r="E795" s="1077" t="s">
        <v>4113</v>
      </c>
      <c r="F795" s="1185">
        <v>1</v>
      </c>
      <c r="G795" s="1186"/>
      <c r="H795" s="1186"/>
      <c r="I795" s="1186"/>
      <c r="J795" s="1186"/>
      <c r="K795" s="1186"/>
      <c r="L795" s="1186"/>
      <c r="M795" s="1186"/>
      <c r="N795" s="1186"/>
      <c r="O795" s="1186"/>
      <c r="P795" s="1186"/>
      <c r="Q795" s="1186"/>
      <c r="R795" s="1186"/>
      <c r="S795" s="1186"/>
      <c r="T795" s="1186"/>
      <c r="U795" s="1186"/>
      <c r="V795" s="1186"/>
      <c r="W795" s="1186">
        <v>7.8</v>
      </c>
      <c r="X795" s="1186">
        <v>4.8</v>
      </c>
      <c r="Y795" s="1186">
        <v>7.1</v>
      </c>
      <c r="Z795" s="1186">
        <v>2.9</v>
      </c>
      <c r="AA795" s="1186"/>
      <c r="AB795" s="1186"/>
      <c r="AC795" s="1186"/>
      <c r="AD795" s="1187"/>
    </row>
    <row r="796" spans="1:30" x14ac:dyDescent="0.2">
      <c r="A796">
        <f t="shared" si="46"/>
        <v>21</v>
      </c>
      <c r="B796">
        <v>787</v>
      </c>
      <c r="C796" s="1078">
        <v>3</v>
      </c>
      <c r="D796" s="1077" t="s">
        <v>4729</v>
      </c>
      <c r="E796" s="1077" t="s">
        <v>4117</v>
      </c>
      <c r="F796" s="1185">
        <v>1</v>
      </c>
      <c r="G796" s="1186"/>
      <c r="H796" s="1186"/>
      <c r="I796" s="1186"/>
      <c r="J796" s="1186"/>
      <c r="K796" s="1186"/>
      <c r="L796" s="1186"/>
      <c r="M796" s="1186"/>
      <c r="N796" s="1186"/>
      <c r="O796" s="1186"/>
      <c r="P796" s="1186"/>
      <c r="Q796" s="1186"/>
      <c r="R796" s="1186"/>
      <c r="S796" s="1186"/>
      <c r="T796" s="1186"/>
      <c r="U796" s="1186"/>
      <c r="V796" s="1186"/>
      <c r="W796" s="1186">
        <v>10.6</v>
      </c>
      <c r="X796" s="1186">
        <v>5</v>
      </c>
      <c r="Y796" s="1186">
        <v>9.8000000000000007</v>
      </c>
      <c r="Z796" s="1186">
        <v>3.1</v>
      </c>
      <c r="AA796" s="1186"/>
      <c r="AB796" s="1186"/>
      <c r="AC796" s="1186"/>
      <c r="AD796" s="1187"/>
    </row>
    <row r="797" spans="1:30" x14ac:dyDescent="0.2">
      <c r="A797">
        <f t="shared" si="46"/>
        <v>21</v>
      </c>
      <c r="B797">
        <v>788</v>
      </c>
      <c r="C797" s="1078">
        <v>3</v>
      </c>
      <c r="D797" s="1077" t="s">
        <v>4729</v>
      </c>
      <c r="E797" s="1077" t="s">
        <v>4121</v>
      </c>
      <c r="F797" s="1185">
        <v>1</v>
      </c>
      <c r="G797" s="1186"/>
      <c r="H797" s="1186"/>
      <c r="I797" s="1186"/>
      <c r="J797" s="1186"/>
      <c r="K797" s="1186"/>
      <c r="L797" s="1186"/>
      <c r="M797" s="1186"/>
      <c r="N797" s="1186"/>
      <c r="O797" s="1186"/>
      <c r="P797" s="1186"/>
      <c r="Q797" s="1186"/>
      <c r="R797" s="1186"/>
      <c r="S797" s="1186"/>
      <c r="T797" s="1186"/>
      <c r="U797" s="1186"/>
      <c r="V797" s="1186"/>
      <c r="W797" s="1186">
        <v>13.1</v>
      </c>
      <c r="X797" s="1186">
        <v>4.7</v>
      </c>
      <c r="Y797" s="1186">
        <v>12.2</v>
      </c>
      <c r="Z797" s="1186">
        <v>3</v>
      </c>
      <c r="AA797" s="1186"/>
      <c r="AB797" s="1186"/>
      <c r="AC797" s="1186"/>
      <c r="AD797" s="1187"/>
    </row>
    <row r="798" spans="1:30" x14ac:dyDescent="0.2">
      <c r="A798">
        <f t="shared" si="46"/>
        <v>21</v>
      </c>
      <c r="B798">
        <v>789</v>
      </c>
      <c r="C798" s="1078">
        <v>2</v>
      </c>
      <c r="D798" s="1077" t="s">
        <v>4729</v>
      </c>
      <c r="E798" s="1077" t="s">
        <v>5206</v>
      </c>
      <c r="F798" s="1185">
        <v>4</v>
      </c>
      <c r="G798" s="1186">
        <v>21</v>
      </c>
      <c r="H798" s="1186">
        <v>2.2000000000000002</v>
      </c>
      <c r="I798" s="1186">
        <v>28.1</v>
      </c>
      <c r="J798" s="1186">
        <v>2.8</v>
      </c>
      <c r="K798" s="1186">
        <v>34.6</v>
      </c>
      <c r="L798" s="1186">
        <v>3.6</v>
      </c>
      <c r="M798" s="1186">
        <v>38.9</v>
      </c>
      <c r="N798" s="1186">
        <v>4</v>
      </c>
      <c r="O798" s="1186">
        <v>49.9</v>
      </c>
      <c r="P798" s="1186">
        <v>5.2</v>
      </c>
      <c r="Q798" s="1186">
        <v>23</v>
      </c>
      <c r="R798" s="1186">
        <v>1.2</v>
      </c>
      <c r="S798" s="1186">
        <v>25.9</v>
      </c>
      <c r="T798" s="1186">
        <v>2.6</v>
      </c>
      <c r="U798" s="1186">
        <v>34.200000000000003</v>
      </c>
      <c r="V798" s="1186">
        <v>3.2</v>
      </c>
      <c r="W798" s="1186"/>
      <c r="X798" s="1186"/>
      <c r="Y798" s="1186"/>
      <c r="Z798" s="1186"/>
      <c r="AA798" s="1186"/>
      <c r="AB798" s="1186"/>
      <c r="AC798" s="1186"/>
      <c r="AD798" s="1187"/>
    </row>
    <row r="799" spans="1:30" x14ac:dyDescent="0.2">
      <c r="A799">
        <f t="shared" si="46"/>
        <v>21</v>
      </c>
      <c r="B799">
        <v>790</v>
      </c>
      <c r="C799" s="1078">
        <v>2</v>
      </c>
      <c r="D799" s="1077" t="s">
        <v>4729</v>
      </c>
      <c r="E799" s="1077" t="s">
        <v>5207</v>
      </c>
      <c r="F799" s="1185">
        <v>4</v>
      </c>
      <c r="G799" s="1186">
        <v>21</v>
      </c>
      <c r="H799" s="1186">
        <v>2.2000000000000002</v>
      </c>
      <c r="I799" s="1186">
        <v>28.1</v>
      </c>
      <c r="J799" s="1186">
        <v>2.8</v>
      </c>
      <c r="K799" s="1186">
        <v>34.6</v>
      </c>
      <c r="L799" s="1186">
        <v>3.6</v>
      </c>
      <c r="M799" s="1186">
        <v>38.9</v>
      </c>
      <c r="N799" s="1186">
        <v>4</v>
      </c>
      <c r="O799" s="1186">
        <v>49.9</v>
      </c>
      <c r="P799" s="1186">
        <v>5.2</v>
      </c>
      <c r="Q799" s="1186">
        <v>23</v>
      </c>
      <c r="R799" s="1186">
        <v>1.2</v>
      </c>
      <c r="S799" s="1186">
        <v>25.9</v>
      </c>
      <c r="T799" s="1186">
        <v>2.6</v>
      </c>
      <c r="U799" s="1186">
        <v>34.200000000000003</v>
      </c>
      <c r="V799" s="1186">
        <v>3.2</v>
      </c>
      <c r="W799" s="1186"/>
      <c r="X799" s="1186"/>
      <c r="Y799" s="1186"/>
      <c r="Z799" s="1186"/>
      <c r="AA799" s="1186"/>
      <c r="AB799" s="1186"/>
      <c r="AC799" s="1186"/>
      <c r="AD799" s="1187"/>
    </row>
    <row r="800" spans="1:30" x14ac:dyDescent="0.2">
      <c r="A800">
        <f t="shared" si="46"/>
        <v>21</v>
      </c>
      <c r="B800">
        <v>791</v>
      </c>
      <c r="C800" s="1078">
        <v>2</v>
      </c>
      <c r="D800" s="1077" t="s">
        <v>4729</v>
      </c>
      <c r="E800" s="1077" t="s">
        <v>5208</v>
      </c>
      <c r="F800" s="1185">
        <v>4</v>
      </c>
      <c r="G800" s="1186">
        <v>24</v>
      </c>
      <c r="H800" s="1186">
        <v>2.7</v>
      </c>
      <c r="I800" s="1186">
        <v>32</v>
      </c>
      <c r="J800" s="1186">
        <v>3.4</v>
      </c>
      <c r="K800" s="1186">
        <v>39.5</v>
      </c>
      <c r="L800" s="1186">
        <v>4.3</v>
      </c>
      <c r="M800" s="1186">
        <v>45</v>
      </c>
      <c r="N800" s="1186">
        <v>4.8</v>
      </c>
      <c r="O800" s="1186">
        <v>50</v>
      </c>
      <c r="P800" s="1186">
        <v>6.2</v>
      </c>
      <c r="Q800" s="1186">
        <v>28</v>
      </c>
      <c r="R800" s="1186">
        <v>2.2000000000000002</v>
      </c>
      <c r="S800" s="1186">
        <v>37.5</v>
      </c>
      <c r="T800" s="1186">
        <v>3.1</v>
      </c>
      <c r="U800" s="1186">
        <v>50</v>
      </c>
      <c r="V800" s="1186">
        <v>4</v>
      </c>
      <c r="W800" s="1186"/>
      <c r="X800" s="1186"/>
      <c r="Y800" s="1186"/>
      <c r="Z800" s="1186"/>
      <c r="AA800" s="1186"/>
      <c r="AB800" s="1186"/>
      <c r="AC800" s="1186"/>
      <c r="AD800" s="1187"/>
    </row>
    <row r="801" spans="1:30" x14ac:dyDescent="0.2">
      <c r="A801">
        <f t="shared" si="46"/>
        <v>21</v>
      </c>
      <c r="B801">
        <v>792</v>
      </c>
      <c r="C801" s="1078">
        <v>2</v>
      </c>
      <c r="D801" s="1077" t="s">
        <v>4729</v>
      </c>
      <c r="E801" s="1077" t="s">
        <v>5209</v>
      </c>
      <c r="F801" s="1185">
        <v>4</v>
      </c>
      <c r="G801" s="1186">
        <v>25.5</v>
      </c>
      <c r="H801" s="1186">
        <v>2.7</v>
      </c>
      <c r="I801" s="1186">
        <v>34</v>
      </c>
      <c r="J801" s="1186">
        <v>3.4</v>
      </c>
      <c r="K801" s="1186">
        <v>42</v>
      </c>
      <c r="L801" s="1186">
        <v>4.2</v>
      </c>
      <c r="M801" s="1186">
        <v>47</v>
      </c>
      <c r="N801" s="1186">
        <v>4.7</v>
      </c>
      <c r="O801" s="1186">
        <v>51.3</v>
      </c>
      <c r="P801" s="1186">
        <v>6.2</v>
      </c>
      <c r="Q801" s="1186">
        <v>33</v>
      </c>
      <c r="R801" s="1186">
        <v>2.2000000000000002</v>
      </c>
      <c r="S801" s="1186">
        <v>43</v>
      </c>
      <c r="T801" s="1186">
        <v>3</v>
      </c>
      <c r="U801" s="1186">
        <v>55.6</v>
      </c>
      <c r="V801" s="1186">
        <v>3.8</v>
      </c>
      <c r="W801" s="1186"/>
      <c r="X801" s="1186"/>
      <c r="Y801" s="1186"/>
      <c r="Z801" s="1186"/>
      <c r="AA801" s="1186"/>
      <c r="AB801" s="1186"/>
      <c r="AC801" s="1186"/>
      <c r="AD801" s="1187"/>
    </row>
    <row r="802" spans="1:30" x14ac:dyDescent="0.2">
      <c r="A802">
        <f t="shared" si="46"/>
        <v>21</v>
      </c>
      <c r="B802">
        <v>793</v>
      </c>
      <c r="C802" s="1078">
        <v>2</v>
      </c>
      <c r="D802" s="1077" t="s">
        <v>4729</v>
      </c>
      <c r="E802" s="1077" t="s">
        <v>5210</v>
      </c>
      <c r="F802" s="1185">
        <v>4</v>
      </c>
      <c r="G802" s="1186">
        <v>30</v>
      </c>
      <c r="H802" s="1186">
        <v>2.7</v>
      </c>
      <c r="I802" s="1186">
        <v>38</v>
      </c>
      <c r="J802" s="1186">
        <v>3.4</v>
      </c>
      <c r="K802" s="1186">
        <v>48</v>
      </c>
      <c r="L802" s="1186">
        <v>3.9</v>
      </c>
      <c r="M802" s="1186">
        <v>54</v>
      </c>
      <c r="N802" s="1186">
        <v>4.8</v>
      </c>
      <c r="O802" s="1186">
        <v>74</v>
      </c>
      <c r="P802" s="1186">
        <v>6.4</v>
      </c>
      <c r="Q802" s="1186">
        <v>35.5</v>
      </c>
      <c r="R802" s="1186">
        <v>2.2000000000000002</v>
      </c>
      <c r="S802" s="1186">
        <v>46</v>
      </c>
      <c r="T802" s="1186">
        <v>3</v>
      </c>
      <c r="U802" s="1186">
        <v>61</v>
      </c>
      <c r="V802" s="1186">
        <v>3.9</v>
      </c>
      <c r="W802" s="1186"/>
      <c r="X802" s="1186"/>
      <c r="Y802" s="1186"/>
      <c r="Z802" s="1186"/>
      <c r="AA802" s="1186"/>
      <c r="AB802" s="1186"/>
      <c r="AC802" s="1186"/>
      <c r="AD802" s="1187"/>
    </row>
    <row r="803" spans="1:30" x14ac:dyDescent="0.2">
      <c r="A803">
        <f t="shared" si="46"/>
        <v>21</v>
      </c>
      <c r="B803">
        <v>794</v>
      </c>
      <c r="C803" s="1078">
        <v>2</v>
      </c>
      <c r="D803" s="1077" t="s">
        <v>4729</v>
      </c>
      <c r="E803" s="1077" t="s">
        <v>5211</v>
      </c>
      <c r="F803" s="1185">
        <v>4</v>
      </c>
      <c r="G803" s="1186">
        <v>31.5</v>
      </c>
      <c r="H803" s="1186">
        <v>2.8</v>
      </c>
      <c r="I803" s="1186">
        <v>44</v>
      </c>
      <c r="J803" s="1186">
        <v>3.5</v>
      </c>
      <c r="K803" s="1186">
        <v>56</v>
      </c>
      <c r="L803" s="1186">
        <v>4</v>
      </c>
      <c r="M803" s="1186">
        <v>62</v>
      </c>
      <c r="N803" s="1186">
        <v>4.9000000000000004</v>
      </c>
      <c r="O803" s="1186">
        <v>84</v>
      </c>
      <c r="P803" s="1186">
        <v>7.1</v>
      </c>
      <c r="Q803" s="1186">
        <v>41.2</v>
      </c>
      <c r="R803" s="1186">
        <v>2.2000000000000002</v>
      </c>
      <c r="S803" s="1186">
        <v>55</v>
      </c>
      <c r="T803" s="1186">
        <v>3</v>
      </c>
      <c r="U803" s="1186">
        <v>70.2</v>
      </c>
      <c r="V803" s="1186">
        <v>3.9</v>
      </c>
      <c r="W803" s="1186"/>
      <c r="X803" s="1186"/>
      <c r="Y803" s="1186"/>
      <c r="Z803" s="1186"/>
      <c r="AA803" s="1186"/>
      <c r="AB803" s="1186"/>
      <c r="AC803" s="1186"/>
      <c r="AD803" s="1187"/>
    </row>
    <row r="804" spans="1:30" x14ac:dyDescent="0.2">
      <c r="A804">
        <f t="shared" si="46"/>
        <v>21</v>
      </c>
      <c r="B804">
        <v>795</v>
      </c>
      <c r="C804" s="1078">
        <v>2</v>
      </c>
      <c r="D804" s="1077" t="s">
        <v>4729</v>
      </c>
      <c r="E804" s="1077" t="s">
        <v>5212</v>
      </c>
      <c r="F804" s="1185">
        <v>4</v>
      </c>
      <c r="G804" s="1186">
        <v>37.200000000000003</v>
      </c>
      <c r="H804" s="1186">
        <v>2.7</v>
      </c>
      <c r="I804" s="1186">
        <v>56</v>
      </c>
      <c r="J804" s="1186">
        <v>3.4</v>
      </c>
      <c r="K804" s="1186">
        <v>70</v>
      </c>
      <c r="L804" s="1186">
        <v>4.2</v>
      </c>
      <c r="M804" s="1186">
        <v>78</v>
      </c>
      <c r="N804" s="1186">
        <v>4.5999999999999996</v>
      </c>
      <c r="O804" s="1186">
        <v>105</v>
      </c>
      <c r="P804" s="1186">
        <v>5.9</v>
      </c>
      <c r="Q804" s="1186">
        <v>46</v>
      </c>
      <c r="R804" s="1186">
        <v>2.2000000000000002</v>
      </c>
      <c r="S804" s="1186">
        <v>70</v>
      </c>
      <c r="T804" s="1186">
        <v>3</v>
      </c>
      <c r="U804" s="1186">
        <v>88</v>
      </c>
      <c r="V804" s="1186">
        <v>3.9</v>
      </c>
      <c r="W804" s="1186"/>
      <c r="X804" s="1186"/>
      <c r="Y804" s="1186"/>
      <c r="Z804" s="1186"/>
      <c r="AA804" s="1186"/>
      <c r="AB804" s="1186"/>
      <c r="AC804" s="1186"/>
      <c r="AD804" s="1187"/>
    </row>
    <row r="805" spans="1:30" x14ac:dyDescent="0.2">
      <c r="A805">
        <f t="shared" si="46"/>
        <v>21</v>
      </c>
      <c r="B805">
        <v>796</v>
      </c>
      <c r="C805" s="1078">
        <v>2</v>
      </c>
      <c r="D805" s="1077" t="s">
        <v>4729</v>
      </c>
      <c r="E805" s="1077" t="s">
        <v>5213</v>
      </c>
      <c r="F805" s="1185">
        <v>4</v>
      </c>
      <c r="G805" s="1186">
        <v>45</v>
      </c>
      <c r="H805" s="1186">
        <v>2.6</v>
      </c>
      <c r="I805" s="1186">
        <v>72</v>
      </c>
      <c r="J805" s="1186">
        <v>3.2</v>
      </c>
      <c r="K805" s="1186">
        <v>86</v>
      </c>
      <c r="L805" s="1186">
        <v>4</v>
      </c>
      <c r="M805" s="1186">
        <v>98</v>
      </c>
      <c r="N805" s="1186">
        <v>4.4000000000000004</v>
      </c>
      <c r="O805" s="1186">
        <v>128</v>
      </c>
      <c r="P805" s="1186">
        <v>6.1</v>
      </c>
      <c r="Q805" s="1186">
        <v>70</v>
      </c>
      <c r="R805" s="1186">
        <v>1.2</v>
      </c>
      <c r="S805" s="1186">
        <v>88</v>
      </c>
      <c r="T805" s="1186">
        <v>2.7</v>
      </c>
      <c r="U805" s="1186">
        <v>114</v>
      </c>
      <c r="V805" s="1186">
        <v>3.6</v>
      </c>
      <c r="W805" s="1186"/>
      <c r="X805" s="1186"/>
      <c r="Y805" s="1186"/>
      <c r="Z805" s="1186"/>
      <c r="AA805" s="1186"/>
      <c r="AB805" s="1186"/>
      <c r="AC805" s="1186"/>
      <c r="AD805" s="1187"/>
    </row>
    <row r="806" spans="1:30" x14ac:dyDescent="0.2">
      <c r="A806">
        <f t="shared" si="46"/>
        <v>21</v>
      </c>
      <c r="B806">
        <v>797</v>
      </c>
      <c r="C806" s="1078">
        <v>2</v>
      </c>
      <c r="D806" s="1077" t="s">
        <v>4729</v>
      </c>
      <c r="E806" s="1077" t="s">
        <v>5214</v>
      </c>
      <c r="F806" s="1185">
        <v>4</v>
      </c>
      <c r="G806" s="1186">
        <v>24</v>
      </c>
      <c r="H806" s="1186">
        <v>2.7</v>
      </c>
      <c r="I806" s="1186">
        <v>32</v>
      </c>
      <c r="J806" s="1186">
        <v>3.4</v>
      </c>
      <c r="K806" s="1186">
        <v>39.5</v>
      </c>
      <c r="L806" s="1186">
        <v>4.3</v>
      </c>
      <c r="M806" s="1186">
        <v>45</v>
      </c>
      <c r="N806" s="1186">
        <v>4.8</v>
      </c>
      <c r="O806" s="1186">
        <v>50</v>
      </c>
      <c r="P806" s="1186">
        <v>6.2</v>
      </c>
      <c r="Q806" s="1186">
        <v>28</v>
      </c>
      <c r="R806" s="1186">
        <v>2.2000000000000002</v>
      </c>
      <c r="S806" s="1186">
        <v>37.5</v>
      </c>
      <c r="T806" s="1186">
        <v>3.1</v>
      </c>
      <c r="U806" s="1186">
        <v>50</v>
      </c>
      <c r="V806" s="1186">
        <v>4</v>
      </c>
      <c r="W806" s="1186"/>
      <c r="X806" s="1186"/>
      <c r="Y806" s="1186"/>
      <c r="Z806" s="1186"/>
      <c r="AA806" s="1186"/>
      <c r="AB806" s="1186"/>
      <c r="AC806" s="1186"/>
      <c r="AD806" s="1187"/>
    </row>
    <row r="807" spans="1:30" x14ac:dyDescent="0.2">
      <c r="A807">
        <f t="shared" si="46"/>
        <v>21</v>
      </c>
      <c r="B807">
        <v>798</v>
      </c>
      <c r="C807" s="1078">
        <v>2</v>
      </c>
      <c r="D807" s="1077" t="s">
        <v>4729</v>
      </c>
      <c r="E807" s="1077" t="s">
        <v>5215</v>
      </c>
      <c r="F807" s="1185">
        <v>4</v>
      </c>
      <c r="G807" s="1186">
        <v>25.5</v>
      </c>
      <c r="H807" s="1186">
        <v>2.7</v>
      </c>
      <c r="I807" s="1186">
        <v>34</v>
      </c>
      <c r="J807" s="1186">
        <v>3.4</v>
      </c>
      <c r="K807" s="1186">
        <v>42</v>
      </c>
      <c r="L807" s="1186">
        <v>4.2</v>
      </c>
      <c r="M807" s="1186">
        <v>47</v>
      </c>
      <c r="N807" s="1186">
        <v>4.7</v>
      </c>
      <c r="O807" s="1186">
        <v>51.3</v>
      </c>
      <c r="P807" s="1186">
        <v>6.2</v>
      </c>
      <c r="Q807" s="1186">
        <v>33</v>
      </c>
      <c r="R807" s="1186">
        <v>2.2000000000000002</v>
      </c>
      <c r="S807" s="1186">
        <v>43</v>
      </c>
      <c r="T807" s="1186">
        <v>3</v>
      </c>
      <c r="U807" s="1186">
        <v>55.6</v>
      </c>
      <c r="V807" s="1186">
        <v>3.8</v>
      </c>
      <c r="W807" s="1186"/>
      <c r="X807" s="1186"/>
      <c r="Y807" s="1186"/>
      <c r="Z807" s="1186"/>
      <c r="AA807" s="1186"/>
      <c r="AB807" s="1186"/>
      <c r="AC807" s="1186"/>
      <c r="AD807" s="1187"/>
    </row>
    <row r="808" spans="1:30" x14ac:dyDescent="0.2">
      <c r="A808">
        <f t="shared" si="46"/>
        <v>21</v>
      </c>
      <c r="B808">
        <v>799</v>
      </c>
      <c r="C808" s="1078">
        <v>2</v>
      </c>
      <c r="D808" s="1077" t="s">
        <v>4729</v>
      </c>
      <c r="E808" s="1077" t="s">
        <v>5216</v>
      </c>
      <c r="F808" s="1185">
        <v>4</v>
      </c>
      <c r="G808" s="1186">
        <v>30</v>
      </c>
      <c r="H808" s="1186">
        <v>2.7</v>
      </c>
      <c r="I808" s="1186">
        <v>38</v>
      </c>
      <c r="J808" s="1186">
        <v>3.4</v>
      </c>
      <c r="K808" s="1186">
        <v>48</v>
      </c>
      <c r="L808" s="1186">
        <v>3.9</v>
      </c>
      <c r="M808" s="1186">
        <v>54</v>
      </c>
      <c r="N808" s="1186">
        <v>4.8</v>
      </c>
      <c r="O808" s="1186">
        <v>74</v>
      </c>
      <c r="P808" s="1186">
        <v>6.4</v>
      </c>
      <c r="Q808" s="1186">
        <v>35.5</v>
      </c>
      <c r="R808" s="1186">
        <v>2.2000000000000002</v>
      </c>
      <c r="S808" s="1186">
        <v>46</v>
      </c>
      <c r="T808" s="1186">
        <v>3</v>
      </c>
      <c r="U808" s="1186">
        <v>61</v>
      </c>
      <c r="V808" s="1186">
        <v>3.9</v>
      </c>
      <c r="W808" s="1186"/>
      <c r="X808" s="1186"/>
      <c r="Y808" s="1186"/>
      <c r="Z808" s="1186"/>
      <c r="AA808" s="1186"/>
      <c r="AB808" s="1186"/>
      <c r="AC808" s="1186"/>
      <c r="AD808" s="1187"/>
    </row>
    <row r="809" spans="1:30" x14ac:dyDescent="0.2">
      <c r="A809">
        <f t="shared" si="46"/>
        <v>21</v>
      </c>
      <c r="B809">
        <v>800</v>
      </c>
      <c r="C809" s="1078">
        <v>2</v>
      </c>
      <c r="D809" s="1077" t="s">
        <v>4729</v>
      </c>
      <c r="E809" s="1077" t="s">
        <v>5217</v>
      </c>
      <c r="F809" s="1185">
        <v>4</v>
      </c>
      <c r="G809" s="1186">
        <v>31.5</v>
      </c>
      <c r="H809" s="1186">
        <v>2.8</v>
      </c>
      <c r="I809" s="1186">
        <v>44</v>
      </c>
      <c r="J809" s="1186">
        <v>3.5</v>
      </c>
      <c r="K809" s="1186">
        <v>56</v>
      </c>
      <c r="L809" s="1186">
        <v>4</v>
      </c>
      <c r="M809" s="1186">
        <v>62</v>
      </c>
      <c r="N809" s="1186">
        <v>4.9000000000000004</v>
      </c>
      <c r="O809" s="1186">
        <v>84</v>
      </c>
      <c r="P809" s="1186">
        <v>7.1</v>
      </c>
      <c r="Q809" s="1186">
        <v>41.2</v>
      </c>
      <c r="R809" s="1186">
        <v>2.2000000000000002</v>
      </c>
      <c r="S809" s="1186">
        <v>55</v>
      </c>
      <c r="T809" s="1186">
        <v>3</v>
      </c>
      <c r="U809" s="1186">
        <v>70.2</v>
      </c>
      <c r="V809" s="1186">
        <v>3.9</v>
      </c>
      <c r="W809" s="1186"/>
      <c r="X809" s="1186"/>
      <c r="Y809" s="1186"/>
      <c r="Z809" s="1186"/>
      <c r="AA809" s="1186"/>
      <c r="AB809" s="1186"/>
      <c r="AC809" s="1186"/>
      <c r="AD809" s="1187"/>
    </row>
    <row r="810" spans="1:30" x14ac:dyDescent="0.2">
      <c r="A810">
        <f t="shared" si="46"/>
        <v>21</v>
      </c>
      <c r="B810">
        <v>801</v>
      </c>
      <c r="C810" s="1078">
        <v>2</v>
      </c>
      <c r="D810" s="1077" t="s">
        <v>4729</v>
      </c>
      <c r="E810" s="1077" t="s">
        <v>5218</v>
      </c>
      <c r="F810" s="1185">
        <v>4</v>
      </c>
      <c r="G810" s="1186">
        <v>37.200000000000003</v>
      </c>
      <c r="H810" s="1186">
        <v>2.7</v>
      </c>
      <c r="I810" s="1186">
        <v>56</v>
      </c>
      <c r="J810" s="1186">
        <v>3.4</v>
      </c>
      <c r="K810" s="1186">
        <v>70</v>
      </c>
      <c r="L810" s="1186">
        <v>4.2</v>
      </c>
      <c r="M810" s="1186">
        <v>78</v>
      </c>
      <c r="N810" s="1186">
        <v>4.5999999999999996</v>
      </c>
      <c r="O810" s="1186">
        <v>105</v>
      </c>
      <c r="P810" s="1186">
        <v>5.9</v>
      </c>
      <c r="Q810" s="1186">
        <v>46</v>
      </c>
      <c r="R810" s="1186">
        <v>2.2000000000000002</v>
      </c>
      <c r="S810" s="1186">
        <v>70</v>
      </c>
      <c r="T810" s="1186">
        <v>3</v>
      </c>
      <c r="U810" s="1186">
        <v>88</v>
      </c>
      <c r="V810" s="1186">
        <v>3.9</v>
      </c>
      <c r="W810" s="1186"/>
      <c r="X810" s="1186"/>
      <c r="Y810" s="1186"/>
      <c r="Z810" s="1186"/>
      <c r="AA810" s="1186"/>
      <c r="AB810" s="1186"/>
      <c r="AC810" s="1186"/>
      <c r="AD810" s="1187"/>
    </row>
    <row r="811" spans="1:30" x14ac:dyDescent="0.2">
      <c r="A811">
        <f t="shared" si="46"/>
        <v>21</v>
      </c>
      <c r="B811">
        <v>802</v>
      </c>
      <c r="C811" s="1078">
        <v>2</v>
      </c>
      <c r="D811" s="1077" t="s">
        <v>4729</v>
      </c>
      <c r="E811" s="1077" t="s">
        <v>5219</v>
      </c>
      <c r="F811" s="1185">
        <v>4</v>
      </c>
      <c r="G811" s="1186">
        <v>45</v>
      </c>
      <c r="H811" s="1186">
        <v>2.6</v>
      </c>
      <c r="I811" s="1186">
        <v>72</v>
      </c>
      <c r="J811" s="1186">
        <v>3.2</v>
      </c>
      <c r="K811" s="1186">
        <v>86</v>
      </c>
      <c r="L811" s="1186">
        <v>4</v>
      </c>
      <c r="M811" s="1186">
        <v>98</v>
      </c>
      <c r="N811" s="1186">
        <v>4.4000000000000004</v>
      </c>
      <c r="O811" s="1186">
        <v>128</v>
      </c>
      <c r="P811" s="1186">
        <v>6.1</v>
      </c>
      <c r="Q811" s="1186">
        <v>70</v>
      </c>
      <c r="R811" s="1186">
        <v>1.2</v>
      </c>
      <c r="S811" s="1186">
        <v>88</v>
      </c>
      <c r="T811" s="1186">
        <v>2.7</v>
      </c>
      <c r="U811" s="1186">
        <v>114</v>
      </c>
      <c r="V811" s="1186">
        <v>3.6</v>
      </c>
      <c r="W811" s="1186"/>
      <c r="X811" s="1186"/>
      <c r="Y811" s="1186"/>
      <c r="Z811" s="1186"/>
      <c r="AA811" s="1186"/>
      <c r="AB811" s="1186"/>
      <c r="AC811" s="1186"/>
      <c r="AD811" s="1187"/>
    </row>
    <row r="812" spans="1:30" x14ac:dyDescent="0.2">
      <c r="A812">
        <f t="shared" si="46"/>
        <v>21</v>
      </c>
      <c r="B812">
        <v>803</v>
      </c>
      <c r="C812" s="1081">
        <v>2</v>
      </c>
      <c r="D812" s="1082" t="s">
        <v>4729</v>
      </c>
      <c r="E812" s="1082" t="s">
        <v>5220</v>
      </c>
      <c r="F812" s="1188">
        <v>4</v>
      </c>
      <c r="G812" s="1189">
        <v>24</v>
      </c>
      <c r="H812" s="1189">
        <v>2.7</v>
      </c>
      <c r="I812" s="1189">
        <v>32</v>
      </c>
      <c r="J812" s="1189">
        <v>3.4</v>
      </c>
      <c r="K812" s="1189">
        <v>39.5</v>
      </c>
      <c r="L812" s="1189">
        <v>4.3</v>
      </c>
      <c r="M812" s="1189">
        <v>45</v>
      </c>
      <c r="N812" s="1189">
        <v>4.8</v>
      </c>
      <c r="O812" s="1189">
        <v>50</v>
      </c>
      <c r="P812" s="1189">
        <v>6.2</v>
      </c>
      <c r="Q812" s="1189">
        <v>28</v>
      </c>
      <c r="R812" s="1189">
        <v>2.2000000000000002</v>
      </c>
      <c r="S812" s="1189">
        <v>37.5</v>
      </c>
      <c r="T812" s="1189">
        <v>3.1</v>
      </c>
      <c r="U812" s="1189">
        <v>50</v>
      </c>
      <c r="V812" s="1189">
        <v>4</v>
      </c>
      <c r="W812" s="1189"/>
      <c r="X812" s="1189"/>
      <c r="Y812" s="1189"/>
      <c r="Z812" s="1189"/>
      <c r="AA812" s="1189"/>
      <c r="AB812" s="1189"/>
      <c r="AC812" s="1189"/>
      <c r="AD812" s="1187"/>
    </row>
    <row r="813" spans="1:30" x14ac:dyDescent="0.2">
      <c r="A813">
        <f t="shared" si="46"/>
        <v>21</v>
      </c>
      <c r="B813">
        <v>804</v>
      </c>
      <c r="C813" s="1190">
        <v>2</v>
      </c>
      <c r="D813" s="1191" t="s">
        <v>4729</v>
      </c>
      <c r="E813" s="1191" t="s">
        <v>5221</v>
      </c>
      <c r="F813" s="1192">
        <v>4</v>
      </c>
      <c r="G813" s="1193">
        <v>25.5</v>
      </c>
      <c r="H813" s="1193">
        <v>2.7</v>
      </c>
      <c r="I813" s="1193">
        <v>34</v>
      </c>
      <c r="J813" s="1193">
        <v>3.4</v>
      </c>
      <c r="K813" s="1193">
        <v>42</v>
      </c>
      <c r="L813" s="1193">
        <v>4.2</v>
      </c>
      <c r="M813" s="1193">
        <v>47</v>
      </c>
      <c r="N813" s="1193">
        <v>4.7</v>
      </c>
      <c r="O813" s="1193">
        <v>51.3</v>
      </c>
      <c r="P813" s="1193">
        <v>6.2</v>
      </c>
      <c r="Q813" s="1193">
        <v>33</v>
      </c>
      <c r="R813" s="1193">
        <v>2.2000000000000002</v>
      </c>
      <c r="S813" s="1193">
        <v>43</v>
      </c>
      <c r="T813" s="1193">
        <v>3</v>
      </c>
      <c r="U813" s="1193">
        <v>55.6</v>
      </c>
      <c r="V813" s="1193">
        <v>3.8</v>
      </c>
      <c r="W813" s="1193"/>
      <c r="X813" s="1193"/>
      <c r="Y813" s="1193"/>
      <c r="Z813" s="1193"/>
      <c r="AA813" s="1193"/>
      <c r="AB813" s="1193"/>
      <c r="AC813" s="1193"/>
      <c r="AD813" s="1187"/>
    </row>
    <row r="814" spans="1:30" x14ac:dyDescent="0.2">
      <c r="A814">
        <f t="shared" si="46"/>
        <v>21</v>
      </c>
      <c r="B814">
        <v>805</v>
      </c>
      <c r="C814" s="1078">
        <v>2</v>
      </c>
      <c r="D814" s="1077" t="s">
        <v>4729</v>
      </c>
      <c r="E814" s="1077" t="s">
        <v>5222</v>
      </c>
      <c r="F814" s="1185">
        <v>4</v>
      </c>
      <c r="G814" s="1186">
        <v>30</v>
      </c>
      <c r="H814" s="1186">
        <v>2.7</v>
      </c>
      <c r="I814" s="1186">
        <v>38</v>
      </c>
      <c r="J814" s="1186">
        <v>3.4</v>
      </c>
      <c r="K814" s="1186">
        <v>48</v>
      </c>
      <c r="L814" s="1186">
        <v>3.9</v>
      </c>
      <c r="M814" s="1186">
        <v>54</v>
      </c>
      <c r="N814" s="1186">
        <v>4.8</v>
      </c>
      <c r="O814" s="1186">
        <v>74</v>
      </c>
      <c r="P814" s="1186">
        <v>6.4</v>
      </c>
      <c r="Q814" s="1186">
        <v>35.5</v>
      </c>
      <c r="R814" s="1186">
        <v>2.2000000000000002</v>
      </c>
      <c r="S814" s="1186">
        <v>46</v>
      </c>
      <c r="T814" s="1186">
        <v>3</v>
      </c>
      <c r="U814" s="1186">
        <v>61</v>
      </c>
      <c r="V814" s="1186">
        <v>3.9</v>
      </c>
      <c r="W814" s="1186"/>
      <c r="X814" s="1186"/>
      <c r="Y814" s="1186"/>
      <c r="Z814" s="1186"/>
      <c r="AA814" s="1186"/>
      <c r="AB814" s="1186"/>
      <c r="AC814" s="1186"/>
      <c r="AD814" s="1187"/>
    </row>
    <row r="815" spans="1:30" x14ac:dyDescent="0.2">
      <c r="A815">
        <f t="shared" si="46"/>
        <v>21</v>
      </c>
      <c r="B815">
        <v>806</v>
      </c>
      <c r="C815" s="1078">
        <v>2</v>
      </c>
      <c r="D815" s="1077" t="s">
        <v>4729</v>
      </c>
      <c r="E815" s="1077" t="s">
        <v>5223</v>
      </c>
      <c r="F815" s="1185">
        <v>4</v>
      </c>
      <c r="G815" s="1186">
        <v>31.5</v>
      </c>
      <c r="H815" s="1186">
        <v>2.8</v>
      </c>
      <c r="I815" s="1186">
        <v>44</v>
      </c>
      <c r="J815" s="1186">
        <v>3.5</v>
      </c>
      <c r="K815" s="1186">
        <v>56</v>
      </c>
      <c r="L815" s="1186">
        <v>4</v>
      </c>
      <c r="M815" s="1186">
        <v>62</v>
      </c>
      <c r="N815" s="1186">
        <v>4.9000000000000004</v>
      </c>
      <c r="O815" s="1186">
        <v>84</v>
      </c>
      <c r="P815" s="1186">
        <v>7.1</v>
      </c>
      <c r="Q815" s="1186">
        <v>41.2</v>
      </c>
      <c r="R815" s="1186">
        <v>2.2000000000000002</v>
      </c>
      <c r="S815" s="1186">
        <v>55</v>
      </c>
      <c r="T815" s="1186">
        <v>3</v>
      </c>
      <c r="U815" s="1186">
        <v>70.2</v>
      </c>
      <c r="V815" s="1186">
        <v>3.9</v>
      </c>
      <c r="W815" s="1186"/>
      <c r="X815" s="1186"/>
      <c r="Y815" s="1186"/>
      <c r="Z815" s="1186"/>
      <c r="AA815" s="1186"/>
      <c r="AB815" s="1186"/>
      <c r="AC815" s="1186"/>
      <c r="AD815" s="1187"/>
    </row>
    <row r="816" spans="1:30" x14ac:dyDescent="0.2">
      <c r="A816">
        <f t="shared" si="46"/>
        <v>21</v>
      </c>
      <c r="B816">
        <v>807</v>
      </c>
      <c r="C816" s="1078">
        <v>2</v>
      </c>
      <c r="D816" s="1077" t="s">
        <v>4729</v>
      </c>
      <c r="E816" s="1077" t="s">
        <v>5224</v>
      </c>
      <c r="F816" s="1185">
        <v>4</v>
      </c>
      <c r="G816" s="1186">
        <v>37.200000000000003</v>
      </c>
      <c r="H816" s="1186">
        <v>2.7</v>
      </c>
      <c r="I816" s="1186">
        <v>56</v>
      </c>
      <c r="J816" s="1186">
        <v>3.4</v>
      </c>
      <c r="K816" s="1186">
        <v>70</v>
      </c>
      <c r="L816" s="1186">
        <v>4.2</v>
      </c>
      <c r="M816" s="1186">
        <v>78</v>
      </c>
      <c r="N816" s="1186">
        <v>4.5999999999999996</v>
      </c>
      <c r="O816" s="1186">
        <v>105</v>
      </c>
      <c r="P816" s="1186">
        <v>5.9</v>
      </c>
      <c r="Q816" s="1186">
        <v>46</v>
      </c>
      <c r="R816" s="1186">
        <v>2.2000000000000002</v>
      </c>
      <c r="S816" s="1186">
        <v>70</v>
      </c>
      <c r="T816" s="1186">
        <v>3</v>
      </c>
      <c r="U816" s="1186">
        <v>88</v>
      </c>
      <c r="V816" s="1186">
        <v>3.9</v>
      </c>
      <c r="W816" s="1186"/>
      <c r="X816" s="1186"/>
      <c r="Y816" s="1186"/>
      <c r="Z816" s="1186"/>
      <c r="AA816" s="1186"/>
      <c r="AB816" s="1186"/>
      <c r="AC816" s="1186"/>
      <c r="AD816" s="1187"/>
    </row>
    <row r="817" spans="1:30" x14ac:dyDescent="0.2">
      <c r="A817">
        <f t="shared" si="46"/>
        <v>21</v>
      </c>
      <c r="B817">
        <v>808</v>
      </c>
      <c r="C817" s="1078">
        <v>2</v>
      </c>
      <c r="D817" s="1077" t="s">
        <v>4729</v>
      </c>
      <c r="E817" s="1077" t="s">
        <v>5225</v>
      </c>
      <c r="F817" s="1185">
        <v>4</v>
      </c>
      <c r="G817" s="1186">
        <v>45</v>
      </c>
      <c r="H817" s="1186">
        <v>2.6</v>
      </c>
      <c r="I817" s="1186">
        <v>72</v>
      </c>
      <c r="J817" s="1186">
        <v>3.2</v>
      </c>
      <c r="K817" s="1186">
        <v>86</v>
      </c>
      <c r="L817" s="1186">
        <v>4</v>
      </c>
      <c r="M817" s="1186">
        <v>98</v>
      </c>
      <c r="N817" s="1186">
        <v>4.4000000000000004</v>
      </c>
      <c r="O817" s="1186">
        <v>128</v>
      </c>
      <c r="P817" s="1186">
        <v>6.1</v>
      </c>
      <c r="Q817" s="1186">
        <v>70</v>
      </c>
      <c r="R817" s="1186">
        <v>1.2</v>
      </c>
      <c r="S817" s="1186">
        <v>88</v>
      </c>
      <c r="T817" s="1186">
        <v>2.7</v>
      </c>
      <c r="U817" s="1186">
        <v>114</v>
      </c>
      <c r="V817" s="1186">
        <v>3.6</v>
      </c>
      <c r="W817" s="1186"/>
      <c r="X817" s="1186"/>
      <c r="Y817" s="1186"/>
      <c r="Z817" s="1186"/>
      <c r="AA817" s="1186"/>
      <c r="AB817" s="1186"/>
      <c r="AC817" s="1186"/>
      <c r="AD817" s="1187"/>
    </row>
    <row r="818" spans="1:30" x14ac:dyDescent="0.2">
      <c r="A818">
        <f t="shared" si="46"/>
        <v>21</v>
      </c>
      <c r="B818">
        <v>809</v>
      </c>
      <c r="C818" s="1078">
        <v>2</v>
      </c>
      <c r="D818" s="1077" t="s">
        <v>4729</v>
      </c>
      <c r="E818" s="1077" t="s">
        <v>5226</v>
      </c>
      <c r="F818" s="1185">
        <v>4</v>
      </c>
      <c r="G818" s="1186">
        <v>24</v>
      </c>
      <c r="H818" s="1186">
        <v>2.7</v>
      </c>
      <c r="I818" s="1186">
        <v>32</v>
      </c>
      <c r="J818" s="1186">
        <v>3.4</v>
      </c>
      <c r="K818" s="1186">
        <v>39.5</v>
      </c>
      <c r="L818" s="1186">
        <v>4.3</v>
      </c>
      <c r="M818" s="1186">
        <v>45</v>
      </c>
      <c r="N818" s="1186">
        <v>4.8</v>
      </c>
      <c r="O818" s="1186">
        <v>50</v>
      </c>
      <c r="P818" s="1186">
        <v>6.2</v>
      </c>
      <c r="Q818" s="1186">
        <v>28</v>
      </c>
      <c r="R818" s="1186">
        <v>2.2000000000000002</v>
      </c>
      <c r="S818" s="1186">
        <v>37.5</v>
      </c>
      <c r="T818" s="1186">
        <v>3.1</v>
      </c>
      <c r="U818" s="1186">
        <v>50</v>
      </c>
      <c r="V818" s="1186">
        <v>4</v>
      </c>
      <c r="W818" s="1186"/>
      <c r="X818" s="1186"/>
      <c r="Y818" s="1186"/>
      <c r="Z818" s="1186"/>
      <c r="AA818" s="1186"/>
      <c r="AB818" s="1186"/>
      <c r="AC818" s="1186"/>
      <c r="AD818" s="1187"/>
    </row>
    <row r="819" spans="1:30" x14ac:dyDescent="0.2">
      <c r="A819">
        <f t="shared" si="46"/>
        <v>21</v>
      </c>
      <c r="B819">
        <v>810</v>
      </c>
      <c r="C819" s="1078">
        <v>2</v>
      </c>
      <c r="D819" s="1077" t="s">
        <v>4729</v>
      </c>
      <c r="E819" s="1077" t="s">
        <v>5227</v>
      </c>
      <c r="F819" s="1185">
        <v>4</v>
      </c>
      <c r="G819" s="1186">
        <v>25.5</v>
      </c>
      <c r="H819" s="1186">
        <v>2.7</v>
      </c>
      <c r="I819" s="1186">
        <v>34</v>
      </c>
      <c r="J819" s="1186">
        <v>3.4</v>
      </c>
      <c r="K819" s="1186">
        <v>42</v>
      </c>
      <c r="L819" s="1186">
        <v>4.2</v>
      </c>
      <c r="M819" s="1186">
        <v>47</v>
      </c>
      <c r="N819" s="1186">
        <v>4.7</v>
      </c>
      <c r="O819" s="1186">
        <v>51.3</v>
      </c>
      <c r="P819" s="1186">
        <v>6.2</v>
      </c>
      <c r="Q819" s="1186">
        <v>33</v>
      </c>
      <c r="R819" s="1186">
        <v>2.2000000000000002</v>
      </c>
      <c r="S819" s="1186">
        <v>43</v>
      </c>
      <c r="T819" s="1186">
        <v>3</v>
      </c>
      <c r="U819" s="1186">
        <v>55.6</v>
      </c>
      <c r="V819" s="1186">
        <v>3.8</v>
      </c>
      <c r="W819" s="1186"/>
      <c r="X819" s="1186"/>
      <c r="Y819" s="1186"/>
      <c r="Z819" s="1186"/>
      <c r="AA819" s="1186"/>
      <c r="AB819" s="1186"/>
      <c r="AC819" s="1186"/>
      <c r="AD819" s="1187"/>
    </row>
    <row r="820" spans="1:30" x14ac:dyDescent="0.2">
      <c r="A820">
        <f t="shared" si="46"/>
        <v>21</v>
      </c>
      <c r="B820">
        <v>811</v>
      </c>
      <c r="C820" s="1078">
        <v>2</v>
      </c>
      <c r="D820" s="1077" t="s">
        <v>4729</v>
      </c>
      <c r="E820" s="1077" t="s">
        <v>5228</v>
      </c>
      <c r="F820" s="1185">
        <v>4</v>
      </c>
      <c r="G820" s="1186">
        <v>30</v>
      </c>
      <c r="H820" s="1186">
        <v>2.7</v>
      </c>
      <c r="I820" s="1186">
        <v>38</v>
      </c>
      <c r="J820" s="1186">
        <v>3.4</v>
      </c>
      <c r="K820" s="1186">
        <v>48</v>
      </c>
      <c r="L820" s="1186">
        <v>3.9</v>
      </c>
      <c r="M820" s="1186">
        <v>54</v>
      </c>
      <c r="N820" s="1186">
        <v>4.8</v>
      </c>
      <c r="O820" s="1186">
        <v>74</v>
      </c>
      <c r="P820" s="1186">
        <v>6.4</v>
      </c>
      <c r="Q820" s="1186">
        <v>35.5</v>
      </c>
      <c r="R820" s="1186">
        <v>2.2000000000000002</v>
      </c>
      <c r="S820" s="1186">
        <v>46</v>
      </c>
      <c r="T820" s="1186">
        <v>3</v>
      </c>
      <c r="U820" s="1186">
        <v>61</v>
      </c>
      <c r="V820" s="1186">
        <v>3.9</v>
      </c>
      <c r="W820" s="1186"/>
      <c r="X820" s="1186"/>
      <c r="Y820" s="1186"/>
      <c r="Z820" s="1186"/>
      <c r="AA820" s="1186"/>
      <c r="AB820" s="1186"/>
      <c r="AC820" s="1186"/>
      <c r="AD820" s="1187"/>
    </row>
    <row r="821" spans="1:30" x14ac:dyDescent="0.2">
      <c r="A821">
        <f t="shared" si="46"/>
        <v>21</v>
      </c>
      <c r="B821">
        <v>812</v>
      </c>
      <c r="C821" s="1078">
        <v>2</v>
      </c>
      <c r="D821" s="1077" t="s">
        <v>4729</v>
      </c>
      <c r="E821" s="1077" t="s">
        <v>5229</v>
      </c>
      <c r="F821" s="1185">
        <v>4</v>
      </c>
      <c r="G821" s="1186">
        <v>31.5</v>
      </c>
      <c r="H821" s="1186">
        <v>2.8</v>
      </c>
      <c r="I821" s="1186">
        <v>44</v>
      </c>
      <c r="J821" s="1186">
        <v>3.5</v>
      </c>
      <c r="K821" s="1186">
        <v>56</v>
      </c>
      <c r="L821" s="1186">
        <v>4</v>
      </c>
      <c r="M821" s="1186">
        <v>62</v>
      </c>
      <c r="N821" s="1186">
        <v>4.9000000000000004</v>
      </c>
      <c r="O821" s="1186">
        <v>84</v>
      </c>
      <c r="P821" s="1186">
        <v>7.1</v>
      </c>
      <c r="Q821" s="1186">
        <v>41.2</v>
      </c>
      <c r="R821" s="1186">
        <v>2.2000000000000002</v>
      </c>
      <c r="S821" s="1186">
        <v>55</v>
      </c>
      <c r="T821" s="1186">
        <v>3</v>
      </c>
      <c r="U821" s="1186">
        <v>70.2</v>
      </c>
      <c r="V821" s="1186">
        <v>3.9</v>
      </c>
      <c r="W821" s="1186"/>
      <c r="X821" s="1186"/>
      <c r="Y821" s="1186"/>
      <c r="Z821" s="1186"/>
      <c r="AA821" s="1186"/>
      <c r="AB821" s="1186"/>
      <c r="AC821" s="1186"/>
      <c r="AD821" s="1187"/>
    </row>
    <row r="822" spans="1:30" x14ac:dyDescent="0.2">
      <c r="A822">
        <f t="shared" si="46"/>
        <v>21</v>
      </c>
      <c r="B822">
        <v>813</v>
      </c>
      <c r="C822" s="1078">
        <v>2</v>
      </c>
      <c r="D822" s="1077" t="s">
        <v>4729</v>
      </c>
      <c r="E822" s="1077" t="s">
        <v>5230</v>
      </c>
      <c r="F822" s="1185">
        <v>4</v>
      </c>
      <c r="G822" s="1186">
        <v>37.200000000000003</v>
      </c>
      <c r="H822" s="1186">
        <v>2.7</v>
      </c>
      <c r="I822" s="1186">
        <v>56</v>
      </c>
      <c r="J822" s="1186">
        <v>3.4</v>
      </c>
      <c r="K822" s="1186">
        <v>70</v>
      </c>
      <c r="L822" s="1186">
        <v>4.2</v>
      </c>
      <c r="M822" s="1186">
        <v>78</v>
      </c>
      <c r="N822" s="1186">
        <v>4.5999999999999996</v>
      </c>
      <c r="O822" s="1186">
        <v>105</v>
      </c>
      <c r="P822" s="1186">
        <v>5.9</v>
      </c>
      <c r="Q822" s="1186">
        <v>46</v>
      </c>
      <c r="R822" s="1186">
        <v>2.2000000000000002</v>
      </c>
      <c r="S822" s="1186">
        <v>70</v>
      </c>
      <c r="T822" s="1186">
        <v>3</v>
      </c>
      <c r="U822" s="1186">
        <v>88</v>
      </c>
      <c r="V822" s="1186">
        <v>3.9</v>
      </c>
      <c r="W822" s="1186"/>
      <c r="X822" s="1186"/>
      <c r="Y822" s="1186"/>
      <c r="Z822" s="1186"/>
      <c r="AA822" s="1186"/>
      <c r="AB822" s="1186"/>
      <c r="AC822" s="1186"/>
      <c r="AD822" s="1187"/>
    </row>
    <row r="823" spans="1:30" x14ac:dyDescent="0.2">
      <c r="A823">
        <f t="shared" si="46"/>
        <v>21</v>
      </c>
      <c r="B823">
        <v>814</v>
      </c>
      <c r="C823" s="1078">
        <v>2</v>
      </c>
      <c r="D823" s="1077" t="s">
        <v>4729</v>
      </c>
      <c r="E823" s="1077" t="s">
        <v>5231</v>
      </c>
      <c r="F823" s="1185">
        <v>4</v>
      </c>
      <c r="G823" s="1186">
        <v>45</v>
      </c>
      <c r="H823" s="1186">
        <v>2.6</v>
      </c>
      <c r="I823" s="1186">
        <v>72</v>
      </c>
      <c r="J823" s="1186">
        <v>3.2</v>
      </c>
      <c r="K823" s="1186">
        <v>86</v>
      </c>
      <c r="L823" s="1186">
        <v>4</v>
      </c>
      <c r="M823" s="1186">
        <v>98</v>
      </c>
      <c r="N823" s="1186">
        <v>4.4000000000000004</v>
      </c>
      <c r="O823" s="1186">
        <v>128</v>
      </c>
      <c r="P823" s="1186">
        <v>6.1</v>
      </c>
      <c r="Q823" s="1186">
        <v>70</v>
      </c>
      <c r="R823" s="1186">
        <v>1.2</v>
      </c>
      <c r="S823" s="1186">
        <v>88</v>
      </c>
      <c r="T823" s="1186">
        <v>2.7</v>
      </c>
      <c r="U823" s="1186">
        <v>114</v>
      </c>
      <c r="V823" s="1186">
        <v>3.6</v>
      </c>
      <c r="W823" s="1186"/>
      <c r="X823" s="1186"/>
      <c r="Y823" s="1186"/>
      <c r="Z823" s="1186"/>
      <c r="AA823" s="1186"/>
      <c r="AB823" s="1186"/>
      <c r="AC823" s="1186"/>
      <c r="AD823" s="1187"/>
    </row>
    <row r="824" spans="1:30" x14ac:dyDescent="0.2">
      <c r="A824">
        <f t="shared" si="46"/>
        <v>21</v>
      </c>
      <c r="B824">
        <v>815</v>
      </c>
      <c r="C824" s="1078">
        <v>2</v>
      </c>
      <c r="D824" s="1077" t="s">
        <v>4729</v>
      </c>
      <c r="E824" s="1077" t="s">
        <v>5539</v>
      </c>
      <c r="F824" s="1185">
        <v>2</v>
      </c>
      <c r="G824" s="1186">
        <v>19.38</v>
      </c>
      <c r="H824" s="1186">
        <v>2.4531645569620251</v>
      </c>
      <c r="I824" s="1186">
        <v>26</v>
      </c>
      <c r="J824" s="1186">
        <v>3.051643192488263</v>
      </c>
      <c r="K824" s="1186">
        <v>35.700000000000003</v>
      </c>
      <c r="L824" s="1186">
        <v>3.9230769230769234</v>
      </c>
      <c r="M824" s="1186">
        <v>42.4</v>
      </c>
      <c r="N824" s="1186">
        <v>4.5010615711252653</v>
      </c>
      <c r="O824" s="1186">
        <v>65</v>
      </c>
      <c r="P824" s="1186">
        <v>6.1320754716981138</v>
      </c>
      <c r="Q824" s="1186">
        <v>12.35</v>
      </c>
      <c r="R824" s="1186">
        <v>2.2998137802607075</v>
      </c>
      <c r="S824" s="1186">
        <v>38.200000000000003</v>
      </c>
      <c r="T824" s="1186">
        <v>2.9797191887675507</v>
      </c>
      <c r="U824" s="1186">
        <v>56.6</v>
      </c>
      <c r="V824" s="1186">
        <v>4.0028288543140027</v>
      </c>
      <c r="W824" s="1186"/>
      <c r="X824" s="1186"/>
      <c r="Y824" s="1186"/>
      <c r="Z824" s="1186"/>
      <c r="AA824" s="1186"/>
      <c r="AB824" s="1186"/>
      <c r="AC824" s="1186"/>
      <c r="AD824" s="1187"/>
    </row>
    <row r="825" spans="1:30" x14ac:dyDescent="0.2">
      <c r="A825">
        <f t="shared" si="46"/>
        <v>21</v>
      </c>
      <c r="B825">
        <v>816</v>
      </c>
      <c r="C825" s="1078">
        <v>2</v>
      </c>
      <c r="D825" s="1077" t="s">
        <v>4729</v>
      </c>
      <c r="E825" s="1077" t="s">
        <v>5540</v>
      </c>
      <c r="F825" s="1185">
        <v>2</v>
      </c>
      <c r="G825" s="1186">
        <v>26.6</v>
      </c>
      <c r="H825" s="1186">
        <v>2.6494023904382473</v>
      </c>
      <c r="I825" s="1186">
        <v>36</v>
      </c>
      <c r="J825" s="1186">
        <v>3.2432432432432434</v>
      </c>
      <c r="K825" s="1186">
        <v>49.4</v>
      </c>
      <c r="L825" s="1186">
        <v>4.1652613827993257</v>
      </c>
      <c r="M825" s="1186">
        <v>58.6</v>
      </c>
      <c r="N825" s="1186">
        <v>4.8032786885245908</v>
      </c>
      <c r="O825" s="1186">
        <v>90</v>
      </c>
      <c r="P825" s="1186">
        <v>6.7771084337349397</v>
      </c>
      <c r="Q825" s="1186">
        <v>16.899999999999999</v>
      </c>
      <c r="R825" s="1186">
        <v>2.4074074074074074</v>
      </c>
      <c r="S825" s="1186">
        <v>52.8</v>
      </c>
      <c r="T825" s="1186">
        <v>3.0662020905923346</v>
      </c>
      <c r="U825" s="1186">
        <v>78.599999999999994</v>
      </c>
      <c r="V825" s="1186">
        <v>4.1764080765143463</v>
      </c>
      <c r="W825" s="1186"/>
      <c r="X825" s="1186"/>
      <c r="Y825" s="1186"/>
      <c r="Z825" s="1186"/>
      <c r="AA825" s="1186"/>
      <c r="AB825" s="1186"/>
      <c r="AC825" s="1186"/>
      <c r="AD825" s="1187"/>
    </row>
    <row r="826" spans="1:30" x14ac:dyDescent="0.2">
      <c r="A826">
        <f t="shared" si="46"/>
        <v>21</v>
      </c>
      <c r="B826">
        <v>817</v>
      </c>
      <c r="C826" s="1078">
        <v>2</v>
      </c>
      <c r="D826" s="1077" t="s">
        <v>4729</v>
      </c>
      <c r="E826" s="1077" t="s">
        <v>5541</v>
      </c>
      <c r="F826" s="1185">
        <v>2</v>
      </c>
      <c r="G826" s="1186">
        <v>33.9</v>
      </c>
      <c r="H826" s="1186">
        <v>2.7650897226753668</v>
      </c>
      <c r="I826" s="1186">
        <v>45.8</v>
      </c>
      <c r="J826" s="1186">
        <v>3.3775811209439524</v>
      </c>
      <c r="K826" s="1186">
        <v>62.8</v>
      </c>
      <c r="L826" s="1186">
        <v>4.2605156037991856</v>
      </c>
      <c r="M826" s="1186">
        <v>74.599999999999994</v>
      </c>
      <c r="N826" s="1186">
        <v>4.8441558441558437</v>
      </c>
      <c r="O826" s="1186">
        <v>114.2</v>
      </c>
      <c r="P826" s="1186">
        <v>6.5257142857142858</v>
      </c>
      <c r="Q826" s="1186">
        <v>21.3</v>
      </c>
      <c r="R826" s="1186">
        <v>2.4796274738067523</v>
      </c>
      <c r="S826" s="1186">
        <v>67</v>
      </c>
      <c r="T826" s="1186">
        <v>3.1308411214953273</v>
      </c>
      <c r="U826" s="1186">
        <v>100.2</v>
      </c>
      <c r="V826" s="1186">
        <v>4.1576763485477173</v>
      </c>
      <c r="W826" s="1186"/>
      <c r="X826" s="1186"/>
      <c r="Y826" s="1186"/>
      <c r="Z826" s="1186"/>
      <c r="AA826" s="1186"/>
      <c r="AB826" s="1186"/>
      <c r="AC826" s="1186"/>
      <c r="AD826" s="1187"/>
    </row>
    <row r="827" spans="1:30" x14ac:dyDescent="0.2">
      <c r="A827">
        <f t="shared" si="46"/>
        <v>21</v>
      </c>
      <c r="B827">
        <v>818</v>
      </c>
      <c r="C827" s="1078">
        <v>2</v>
      </c>
      <c r="D827" s="1077" t="s">
        <v>4729</v>
      </c>
      <c r="E827" s="1077" t="s">
        <v>5542</v>
      </c>
      <c r="F827" s="1185">
        <v>2</v>
      </c>
      <c r="G827" s="1186">
        <v>42</v>
      </c>
      <c r="H827" s="1186">
        <v>2.7814569536423841</v>
      </c>
      <c r="I827" s="1186">
        <v>55.8</v>
      </c>
      <c r="J827" s="1186">
        <v>3.3818181818181818</v>
      </c>
      <c r="K827" s="1186">
        <v>76</v>
      </c>
      <c r="L827" s="1186">
        <v>4.2792792792792786</v>
      </c>
      <c r="M827" s="1186">
        <v>89.8</v>
      </c>
      <c r="N827" s="1186">
        <v>4.8331539289558672</v>
      </c>
      <c r="O827" s="1186">
        <v>138.4</v>
      </c>
      <c r="P827" s="1186">
        <v>6.290909090909091</v>
      </c>
      <c r="Q827" s="1186">
        <v>26</v>
      </c>
      <c r="R827" s="1186">
        <v>2.5</v>
      </c>
      <c r="S827" s="1186">
        <v>80.8</v>
      </c>
      <c r="T827" s="1186">
        <v>3.1439688715953307</v>
      </c>
      <c r="U827" s="1186">
        <v>120.8</v>
      </c>
      <c r="V827" s="1186">
        <v>4.1944444444444446</v>
      </c>
      <c r="W827" s="1186"/>
      <c r="X827" s="1186"/>
      <c r="Y827" s="1186"/>
      <c r="Z827" s="1186"/>
      <c r="AA827" s="1186"/>
      <c r="AB827" s="1186"/>
      <c r="AC827" s="1186"/>
      <c r="AD827" s="1187"/>
    </row>
    <row r="828" spans="1:30" x14ac:dyDescent="0.2">
      <c r="A828">
        <f t="shared" si="46"/>
        <v>21</v>
      </c>
      <c r="B828">
        <v>819</v>
      </c>
      <c r="C828" s="1078">
        <v>2</v>
      </c>
      <c r="D828" s="1077" t="s">
        <v>4729</v>
      </c>
      <c r="E828" s="1077" t="s">
        <v>4730</v>
      </c>
      <c r="F828" s="1185">
        <v>2</v>
      </c>
      <c r="G828" s="1186">
        <v>28</v>
      </c>
      <c r="H828" s="1186">
        <v>3.1</v>
      </c>
      <c r="I828" s="1186">
        <v>32</v>
      </c>
      <c r="J828" s="1186">
        <v>3.25</v>
      </c>
      <c r="K828" s="1186">
        <v>40.799999999999997</v>
      </c>
      <c r="L828" s="1186">
        <v>4.0637450199203187</v>
      </c>
      <c r="M828" s="1186">
        <v>46.8</v>
      </c>
      <c r="N828" s="1186">
        <v>4.5882352941176467</v>
      </c>
      <c r="O828" s="1186">
        <v>66</v>
      </c>
      <c r="P828" s="1186">
        <v>6.2618595825426953</v>
      </c>
      <c r="Q828" s="1186">
        <v>32.700000000000003</v>
      </c>
      <c r="R828" s="1186">
        <v>2.7</v>
      </c>
      <c r="S828" s="1186">
        <v>48</v>
      </c>
      <c r="T828" s="1186">
        <v>3.4</v>
      </c>
      <c r="U828" s="1186">
        <v>65.599999999999994</v>
      </c>
      <c r="V828" s="1186">
        <v>4.5</v>
      </c>
      <c r="W828" s="1186"/>
      <c r="X828" s="1186"/>
      <c r="Y828" s="1186"/>
      <c r="Z828" s="1186"/>
      <c r="AA828" s="1186"/>
      <c r="AB828" s="1186"/>
      <c r="AC828" s="1186"/>
      <c r="AD828" s="1187"/>
    </row>
    <row r="829" spans="1:30" x14ac:dyDescent="0.2">
      <c r="A829">
        <f t="shared" si="46"/>
        <v>21</v>
      </c>
      <c r="B829">
        <v>820</v>
      </c>
      <c r="C829" s="1078">
        <v>2</v>
      </c>
      <c r="D829" s="1077" t="s">
        <v>4729</v>
      </c>
      <c r="E829" s="1077" t="s">
        <v>4731</v>
      </c>
      <c r="F829" s="1185">
        <v>2</v>
      </c>
      <c r="G829" s="1186">
        <v>40</v>
      </c>
      <c r="H829" s="1186">
        <v>3.2</v>
      </c>
      <c r="I829" s="1186">
        <v>44</v>
      </c>
      <c r="J829" s="1186">
        <v>3.4755134281200633</v>
      </c>
      <c r="K829" s="1186">
        <v>57</v>
      </c>
      <c r="L829" s="1186">
        <v>4.2</v>
      </c>
      <c r="M829" s="1186">
        <v>65.400000000000006</v>
      </c>
      <c r="N829" s="1186">
        <v>4.8301329394387009</v>
      </c>
      <c r="O829" s="1186">
        <v>91.6</v>
      </c>
      <c r="P829" s="1186">
        <v>6.6184971098265892</v>
      </c>
      <c r="Q829" s="1186">
        <v>46</v>
      </c>
      <c r="R829" s="1186">
        <v>2.9</v>
      </c>
      <c r="S829" s="1186">
        <v>66.599999999999994</v>
      </c>
      <c r="T829" s="1186">
        <v>3.5</v>
      </c>
      <c r="U829" s="1186">
        <v>91.2</v>
      </c>
      <c r="V829" s="1186">
        <v>4.5</v>
      </c>
      <c r="W829" s="1186"/>
      <c r="X829" s="1186"/>
      <c r="Y829" s="1186"/>
      <c r="Z829" s="1186"/>
      <c r="AA829" s="1186"/>
      <c r="AB829" s="1186"/>
      <c r="AC829" s="1186"/>
      <c r="AD829" s="1187"/>
    </row>
    <row r="830" spans="1:30" x14ac:dyDescent="0.2">
      <c r="A830">
        <f t="shared" si="46"/>
        <v>21</v>
      </c>
      <c r="B830">
        <v>821</v>
      </c>
      <c r="C830" s="1078">
        <v>2</v>
      </c>
      <c r="D830" s="1077" t="s">
        <v>4729</v>
      </c>
      <c r="E830" s="1077" t="s">
        <v>4732</v>
      </c>
      <c r="F830" s="1185">
        <v>2</v>
      </c>
      <c r="G830" s="1186">
        <v>50</v>
      </c>
      <c r="H830" s="1186">
        <v>3.2</v>
      </c>
      <c r="I830" s="1186">
        <v>54.4</v>
      </c>
      <c r="J830" s="1186">
        <v>3.4738186462324392</v>
      </c>
      <c r="K830" s="1186">
        <v>71.400000000000006</v>
      </c>
      <c r="L830" s="1186">
        <v>4.22</v>
      </c>
      <c r="M830" s="1186">
        <v>82.6</v>
      </c>
      <c r="N830" s="1186">
        <v>4.8417350527549825</v>
      </c>
      <c r="O830" s="1186">
        <v>118.4</v>
      </c>
      <c r="P830" s="1186">
        <v>6.4069264069264067</v>
      </c>
      <c r="Q830" s="1186">
        <v>52</v>
      </c>
      <c r="R830" s="1186">
        <v>2.6</v>
      </c>
      <c r="S830" s="1186">
        <v>83.8</v>
      </c>
      <c r="T830" s="1186">
        <v>3.3</v>
      </c>
      <c r="U830" s="1186">
        <v>116</v>
      </c>
      <c r="V830" s="1186">
        <v>4.2181818181818178</v>
      </c>
      <c r="W830" s="1186"/>
      <c r="X830" s="1186"/>
      <c r="Y830" s="1186"/>
      <c r="Z830" s="1186"/>
      <c r="AA830" s="1186"/>
      <c r="AB830" s="1186"/>
      <c r="AC830" s="1186"/>
      <c r="AD830" s="1187"/>
    </row>
    <row r="831" spans="1:30" x14ac:dyDescent="0.2">
      <c r="A831">
        <f t="shared" si="46"/>
        <v>21</v>
      </c>
      <c r="B831">
        <v>822</v>
      </c>
      <c r="C831" s="1078">
        <v>2</v>
      </c>
      <c r="D831" s="1077" t="s">
        <v>4729</v>
      </c>
      <c r="E831" s="1077" t="s">
        <v>5543</v>
      </c>
      <c r="F831" s="1185">
        <v>2</v>
      </c>
      <c r="G831" s="1186">
        <v>19.38</v>
      </c>
      <c r="H831" s="1186">
        <v>2.4531645569620251</v>
      </c>
      <c r="I831" s="1186">
        <v>26</v>
      </c>
      <c r="J831" s="1186">
        <v>3.051643192488263</v>
      </c>
      <c r="K831" s="1186">
        <v>35.700000000000003</v>
      </c>
      <c r="L831" s="1186">
        <v>3.9230769230769234</v>
      </c>
      <c r="M831" s="1186">
        <v>42.4</v>
      </c>
      <c r="N831" s="1186">
        <v>4.5010615711252653</v>
      </c>
      <c r="O831" s="1186">
        <v>65</v>
      </c>
      <c r="P831" s="1186">
        <v>6.1320754716981138</v>
      </c>
      <c r="Q831" s="1186">
        <v>12.35</v>
      </c>
      <c r="R831" s="1186">
        <v>2.2998137802607075</v>
      </c>
      <c r="S831" s="1186">
        <v>38.200000000000003</v>
      </c>
      <c r="T831" s="1186">
        <v>2.9797191887675507</v>
      </c>
      <c r="U831" s="1186">
        <v>56.6</v>
      </c>
      <c r="V831" s="1186">
        <v>4.0028288543140027</v>
      </c>
      <c r="W831" s="1186"/>
      <c r="X831" s="1186"/>
      <c r="Y831" s="1186"/>
      <c r="Z831" s="1186"/>
      <c r="AA831" s="1186"/>
      <c r="AB831" s="1186"/>
      <c r="AC831" s="1186"/>
      <c r="AD831" s="1187"/>
    </row>
    <row r="832" spans="1:30" x14ac:dyDescent="0.2">
      <c r="A832">
        <f t="shared" si="46"/>
        <v>21</v>
      </c>
      <c r="B832">
        <v>823</v>
      </c>
      <c r="C832" s="1078">
        <v>2</v>
      </c>
      <c r="D832" s="1077" t="s">
        <v>4729</v>
      </c>
      <c r="E832" s="1077" t="s">
        <v>5544</v>
      </c>
      <c r="F832" s="1185">
        <v>2</v>
      </c>
      <c r="G832" s="1186">
        <v>26.6</v>
      </c>
      <c r="H832" s="1186">
        <v>2.6494023904382473</v>
      </c>
      <c r="I832" s="1186">
        <v>36</v>
      </c>
      <c r="J832" s="1186">
        <v>3.2432432432432434</v>
      </c>
      <c r="K832" s="1186">
        <v>49.4</v>
      </c>
      <c r="L832" s="1186">
        <v>4.1652613827993257</v>
      </c>
      <c r="M832" s="1186">
        <v>58.6</v>
      </c>
      <c r="N832" s="1186">
        <v>4.8032786885245908</v>
      </c>
      <c r="O832" s="1186">
        <v>90</v>
      </c>
      <c r="P832" s="1186">
        <v>6.7771084337349397</v>
      </c>
      <c r="Q832" s="1186">
        <v>16.899999999999999</v>
      </c>
      <c r="R832" s="1186">
        <v>2.4074074074074074</v>
      </c>
      <c r="S832" s="1186">
        <v>52.8</v>
      </c>
      <c r="T832" s="1186">
        <v>3.0662020905923346</v>
      </c>
      <c r="U832" s="1186">
        <v>78.599999999999994</v>
      </c>
      <c r="V832" s="1186">
        <v>4.1764080765143463</v>
      </c>
      <c r="W832" s="1186"/>
      <c r="X832" s="1186"/>
      <c r="Y832" s="1186"/>
      <c r="Z832" s="1186"/>
      <c r="AA832" s="1186"/>
      <c r="AB832" s="1186"/>
      <c r="AC832" s="1186"/>
      <c r="AD832" s="1187"/>
    </row>
    <row r="833" spans="1:30" x14ac:dyDescent="0.2">
      <c r="A833">
        <f t="shared" si="46"/>
        <v>21</v>
      </c>
      <c r="B833">
        <v>824</v>
      </c>
      <c r="C833" s="1078">
        <v>2</v>
      </c>
      <c r="D833" s="1077" t="s">
        <v>4729</v>
      </c>
      <c r="E833" s="1077" t="s">
        <v>5545</v>
      </c>
      <c r="F833" s="1185">
        <v>2</v>
      </c>
      <c r="G833" s="1186">
        <v>33.9</v>
      </c>
      <c r="H833" s="1186">
        <v>2.7650897226753668</v>
      </c>
      <c r="I833" s="1186">
        <v>45.8</v>
      </c>
      <c r="J833" s="1186">
        <v>3.3775811209439524</v>
      </c>
      <c r="K833" s="1186">
        <v>62.8</v>
      </c>
      <c r="L833" s="1186">
        <v>4.2605156037991856</v>
      </c>
      <c r="M833" s="1186">
        <v>74.599999999999994</v>
      </c>
      <c r="N833" s="1186">
        <v>4.8441558441558437</v>
      </c>
      <c r="O833" s="1186">
        <v>114.2</v>
      </c>
      <c r="P833" s="1186">
        <v>6.5257142857142858</v>
      </c>
      <c r="Q833" s="1186">
        <v>21.3</v>
      </c>
      <c r="R833" s="1186">
        <v>2.4796274738067523</v>
      </c>
      <c r="S833" s="1186">
        <v>67</v>
      </c>
      <c r="T833" s="1186">
        <v>3.1308411214953273</v>
      </c>
      <c r="U833" s="1186">
        <v>100.2</v>
      </c>
      <c r="V833" s="1186">
        <v>4.1576763485477173</v>
      </c>
      <c r="W833" s="1186"/>
      <c r="X833" s="1186"/>
      <c r="Y833" s="1186"/>
      <c r="Z833" s="1186"/>
      <c r="AA833" s="1186"/>
      <c r="AB833" s="1186"/>
      <c r="AC833" s="1186"/>
      <c r="AD833" s="1187"/>
    </row>
    <row r="834" spans="1:30" x14ac:dyDescent="0.2">
      <c r="A834">
        <f t="shared" si="46"/>
        <v>21</v>
      </c>
      <c r="B834">
        <v>825</v>
      </c>
      <c r="C834" s="1078">
        <v>2</v>
      </c>
      <c r="D834" s="1077" t="s">
        <v>4729</v>
      </c>
      <c r="E834" s="1077" t="s">
        <v>5546</v>
      </c>
      <c r="F834" s="1185">
        <v>2</v>
      </c>
      <c r="G834" s="1186">
        <v>42</v>
      </c>
      <c r="H834" s="1186">
        <v>2.7814569536423841</v>
      </c>
      <c r="I834" s="1186">
        <v>55.8</v>
      </c>
      <c r="J834" s="1186">
        <v>3.3818181818181818</v>
      </c>
      <c r="K834" s="1186">
        <v>76</v>
      </c>
      <c r="L834" s="1186">
        <v>4.2792792792792786</v>
      </c>
      <c r="M834" s="1186">
        <v>89.8</v>
      </c>
      <c r="N834" s="1186">
        <v>4.8331539289558672</v>
      </c>
      <c r="O834" s="1186">
        <v>138.4</v>
      </c>
      <c r="P834" s="1186">
        <v>6.290909090909091</v>
      </c>
      <c r="Q834" s="1186">
        <v>26</v>
      </c>
      <c r="R834" s="1186">
        <v>2.5</v>
      </c>
      <c r="S834" s="1186">
        <v>80.8</v>
      </c>
      <c r="T834" s="1186">
        <v>3.1439688715953307</v>
      </c>
      <c r="U834" s="1186">
        <v>120.8</v>
      </c>
      <c r="V834" s="1186">
        <v>4.1944444444444446</v>
      </c>
      <c r="W834" s="1186"/>
      <c r="X834" s="1186"/>
      <c r="Y834" s="1186"/>
      <c r="Z834" s="1186"/>
      <c r="AA834" s="1186"/>
      <c r="AB834" s="1186"/>
      <c r="AC834" s="1186"/>
      <c r="AD834" s="1187"/>
    </row>
    <row r="835" spans="1:30" x14ac:dyDescent="0.2">
      <c r="A835">
        <f t="shared" si="46"/>
        <v>21</v>
      </c>
      <c r="B835">
        <v>826</v>
      </c>
      <c r="C835" s="1078">
        <v>2</v>
      </c>
      <c r="D835" s="1077" t="s">
        <v>4729</v>
      </c>
      <c r="E835" s="1077" t="s">
        <v>4733</v>
      </c>
      <c r="F835" s="1185">
        <v>2</v>
      </c>
      <c r="G835" s="1186">
        <v>28</v>
      </c>
      <c r="H835" s="1186">
        <v>3.1</v>
      </c>
      <c r="I835" s="1186">
        <v>32</v>
      </c>
      <c r="J835" s="1186">
        <v>3.25</v>
      </c>
      <c r="K835" s="1186">
        <v>40.799999999999997</v>
      </c>
      <c r="L835" s="1186">
        <v>4.0637450199203187</v>
      </c>
      <c r="M835" s="1186">
        <v>46.8</v>
      </c>
      <c r="N835" s="1186">
        <v>4.5882352941176467</v>
      </c>
      <c r="O835" s="1186">
        <v>66</v>
      </c>
      <c r="P835" s="1186">
        <v>6.2618595825426953</v>
      </c>
      <c r="Q835" s="1186">
        <v>32.700000000000003</v>
      </c>
      <c r="R835" s="1186">
        <v>2.7</v>
      </c>
      <c r="S835" s="1186">
        <v>48</v>
      </c>
      <c r="T835" s="1186">
        <v>3.4</v>
      </c>
      <c r="U835" s="1186">
        <v>65.599999999999994</v>
      </c>
      <c r="V835" s="1186">
        <v>4.5</v>
      </c>
      <c r="W835" s="1186"/>
      <c r="X835" s="1186"/>
      <c r="Y835" s="1186"/>
      <c r="Z835" s="1186"/>
      <c r="AA835" s="1186"/>
      <c r="AB835" s="1186"/>
      <c r="AC835" s="1186"/>
      <c r="AD835" s="1187"/>
    </row>
    <row r="836" spans="1:30" x14ac:dyDescent="0.2">
      <c r="A836">
        <f t="shared" si="46"/>
        <v>21</v>
      </c>
      <c r="B836">
        <v>827</v>
      </c>
      <c r="C836" s="1078">
        <v>2</v>
      </c>
      <c r="D836" s="1077" t="s">
        <v>4729</v>
      </c>
      <c r="E836" s="1077" t="s">
        <v>4734</v>
      </c>
      <c r="F836" s="1185">
        <v>2</v>
      </c>
      <c r="G836" s="1186">
        <v>40</v>
      </c>
      <c r="H836" s="1186">
        <v>3.2</v>
      </c>
      <c r="I836" s="1186">
        <v>44</v>
      </c>
      <c r="J836" s="1186">
        <v>3.4755134281200633</v>
      </c>
      <c r="K836" s="1186">
        <v>57</v>
      </c>
      <c r="L836" s="1186">
        <v>4.2</v>
      </c>
      <c r="M836" s="1186">
        <v>65.400000000000006</v>
      </c>
      <c r="N836" s="1186">
        <v>4.8301329394387009</v>
      </c>
      <c r="O836" s="1186">
        <v>91.6</v>
      </c>
      <c r="P836" s="1186">
        <v>6.6184971098265892</v>
      </c>
      <c r="Q836" s="1186">
        <v>46</v>
      </c>
      <c r="R836" s="1186">
        <v>2.9</v>
      </c>
      <c r="S836" s="1186">
        <v>66.599999999999994</v>
      </c>
      <c r="T836" s="1186">
        <v>3.5</v>
      </c>
      <c r="U836" s="1186">
        <v>91.2</v>
      </c>
      <c r="V836" s="1186">
        <v>4.5</v>
      </c>
      <c r="W836" s="1186"/>
      <c r="X836" s="1186"/>
      <c r="Y836" s="1186"/>
      <c r="Z836" s="1186"/>
      <c r="AA836" s="1186"/>
      <c r="AB836" s="1186"/>
      <c r="AC836" s="1186"/>
      <c r="AD836" s="1187"/>
    </row>
    <row r="837" spans="1:30" x14ac:dyDescent="0.2">
      <c r="A837">
        <f t="shared" si="46"/>
        <v>21</v>
      </c>
      <c r="B837">
        <v>828</v>
      </c>
      <c r="C837" s="1078">
        <v>2</v>
      </c>
      <c r="D837" s="1077" t="s">
        <v>4729</v>
      </c>
      <c r="E837" s="1077" t="s">
        <v>4735</v>
      </c>
      <c r="F837" s="1185">
        <v>2</v>
      </c>
      <c r="G837" s="1186">
        <v>50</v>
      </c>
      <c r="H837" s="1186">
        <v>3.2</v>
      </c>
      <c r="I837" s="1186">
        <v>54.4</v>
      </c>
      <c r="J837" s="1186">
        <v>3.4738186462324392</v>
      </c>
      <c r="K837" s="1186">
        <v>71.400000000000006</v>
      </c>
      <c r="L837" s="1186">
        <v>4.22</v>
      </c>
      <c r="M837" s="1186">
        <v>82.6</v>
      </c>
      <c r="N837" s="1186">
        <v>4.8417350527549825</v>
      </c>
      <c r="O837" s="1186">
        <v>118.4</v>
      </c>
      <c r="P837" s="1186">
        <v>6.4069264069264067</v>
      </c>
      <c r="Q837" s="1186">
        <v>52</v>
      </c>
      <c r="R837" s="1186">
        <v>2.6</v>
      </c>
      <c r="S837" s="1186">
        <v>83.8</v>
      </c>
      <c r="T837" s="1186">
        <v>3.3</v>
      </c>
      <c r="U837" s="1186">
        <v>116</v>
      </c>
      <c r="V837" s="1186">
        <v>4.2181818181818178</v>
      </c>
      <c r="W837" s="1186"/>
      <c r="X837" s="1186"/>
      <c r="Y837" s="1186"/>
      <c r="Z837" s="1186"/>
      <c r="AA837" s="1186"/>
      <c r="AB837" s="1186"/>
      <c r="AC837" s="1186"/>
      <c r="AD837" s="1187"/>
    </row>
    <row r="838" spans="1:30" x14ac:dyDescent="0.2">
      <c r="A838">
        <f t="shared" si="46"/>
        <v>21</v>
      </c>
      <c r="B838">
        <v>829</v>
      </c>
      <c r="C838" s="1078">
        <v>2</v>
      </c>
      <c r="D838" s="1077" t="s">
        <v>4729</v>
      </c>
      <c r="E838" s="1077" t="s">
        <v>4736</v>
      </c>
      <c r="F838" s="1185">
        <v>4</v>
      </c>
      <c r="G838" s="1186">
        <v>3.2</v>
      </c>
      <c r="H838" s="1186">
        <v>2.335766423357664</v>
      </c>
      <c r="I838" s="1186">
        <v>3.3</v>
      </c>
      <c r="J838" s="1186">
        <v>2.79</v>
      </c>
      <c r="K838" s="1186">
        <v>3.2</v>
      </c>
      <c r="L838" s="1186">
        <v>3.63</v>
      </c>
      <c r="M838" s="1186">
        <v>3.2</v>
      </c>
      <c r="N838" s="1186">
        <v>5.3</v>
      </c>
      <c r="O838" s="1186">
        <v>3.26</v>
      </c>
      <c r="P838" s="1186">
        <v>7.670588235294117</v>
      </c>
      <c r="Q838" s="1186">
        <v>3.2</v>
      </c>
      <c r="R838" s="1186">
        <v>1.787709497206704</v>
      </c>
      <c r="S838" s="1186">
        <v>3.2</v>
      </c>
      <c r="T838" s="1186">
        <v>2.8070175438596494</v>
      </c>
      <c r="U838" s="1186">
        <v>3.82</v>
      </c>
      <c r="V838" s="1186">
        <v>3.42</v>
      </c>
      <c r="W838" s="1186"/>
      <c r="X838" s="1186"/>
      <c r="Y838" s="1186"/>
      <c r="Z838" s="1186"/>
      <c r="AA838" s="1186"/>
      <c r="AB838" s="1186"/>
      <c r="AC838" s="1186"/>
      <c r="AD838" s="1187"/>
    </row>
    <row r="839" spans="1:30" x14ac:dyDescent="0.2">
      <c r="A839">
        <f t="shared" si="46"/>
        <v>21</v>
      </c>
      <c r="B839">
        <v>830</v>
      </c>
      <c r="C839" s="1078">
        <v>2</v>
      </c>
      <c r="D839" s="1077" t="s">
        <v>4729</v>
      </c>
      <c r="E839" s="1077" t="s">
        <v>4737</v>
      </c>
      <c r="F839" s="1185">
        <v>4</v>
      </c>
      <c r="G839" s="1186">
        <v>4.2</v>
      </c>
      <c r="H839" s="1186">
        <v>2.1761658031088085</v>
      </c>
      <c r="I839" s="1186">
        <v>4.2</v>
      </c>
      <c r="J839" s="1186">
        <v>2.59</v>
      </c>
      <c r="K839" s="1186">
        <v>4.2</v>
      </c>
      <c r="L839" s="1186">
        <v>3.18</v>
      </c>
      <c r="M839" s="1186">
        <v>5</v>
      </c>
      <c r="N839" s="1186">
        <v>5</v>
      </c>
      <c r="O839" s="1186">
        <v>5</v>
      </c>
      <c r="P839" s="1186">
        <v>6.25</v>
      </c>
      <c r="Q839" s="1186">
        <v>3.55</v>
      </c>
      <c r="R839" s="1186">
        <v>1.7067307692307692</v>
      </c>
      <c r="S839" s="1186">
        <v>5</v>
      </c>
      <c r="T839" s="1186">
        <v>2.7173913043478262</v>
      </c>
      <c r="U839" s="1186">
        <v>5.43</v>
      </c>
      <c r="V839" s="1186">
        <v>3.8</v>
      </c>
      <c r="W839" s="1186"/>
      <c r="X839" s="1186"/>
      <c r="Y839" s="1186"/>
      <c r="Z839" s="1186"/>
      <c r="AA839" s="1186"/>
      <c r="AB839" s="1186"/>
      <c r="AC839" s="1186"/>
      <c r="AD839" s="1187"/>
    </row>
    <row r="840" spans="1:30" x14ac:dyDescent="0.2">
      <c r="A840">
        <f t="shared" si="46"/>
        <v>21</v>
      </c>
      <c r="B840">
        <v>831</v>
      </c>
      <c r="C840" s="1078">
        <v>2</v>
      </c>
      <c r="D840" s="1077" t="s">
        <v>4729</v>
      </c>
      <c r="E840" s="1077" t="s">
        <v>4738</v>
      </c>
      <c r="F840" s="1185">
        <v>4</v>
      </c>
      <c r="G840" s="1186">
        <v>7.4</v>
      </c>
      <c r="H840" s="1186">
        <v>2.3125</v>
      </c>
      <c r="I840" s="1186">
        <v>6.1</v>
      </c>
      <c r="J840" s="1186">
        <v>2.78</v>
      </c>
      <c r="K840" s="1186">
        <v>7</v>
      </c>
      <c r="L840" s="1186">
        <v>3.39</v>
      </c>
      <c r="M840" s="1186">
        <v>9</v>
      </c>
      <c r="N840" s="1186">
        <v>4.47</v>
      </c>
      <c r="O840" s="1186">
        <v>6.9</v>
      </c>
      <c r="P840" s="1186">
        <v>6.5714285714285712</v>
      </c>
      <c r="Q840" s="1186">
        <v>5.9</v>
      </c>
      <c r="R840" s="1186">
        <v>1.9281045751633987</v>
      </c>
      <c r="S840" s="1186">
        <v>8.9499999999999993</v>
      </c>
      <c r="T840" s="1186">
        <v>2.7795031055900616</v>
      </c>
      <c r="U840" s="1186">
        <v>8.14</v>
      </c>
      <c r="V840" s="1186">
        <v>3.51</v>
      </c>
      <c r="W840" s="1186"/>
      <c r="X840" s="1186"/>
      <c r="Y840" s="1186"/>
      <c r="Z840" s="1186"/>
      <c r="AA840" s="1186"/>
      <c r="AB840" s="1186"/>
      <c r="AC840" s="1186"/>
      <c r="AD840" s="1187"/>
    </row>
    <row r="841" spans="1:30" x14ac:dyDescent="0.2">
      <c r="A841">
        <f t="shared" si="46"/>
        <v>21</v>
      </c>
      <c r="B841">
        <v>832</v>
      </c>
      <c r="C841" s="1078">
        <v>2</v>
      </c>
      <c r="D841" s="1077" t="s">
        <v>4729</v>
      </c>
      <c r="E841" s="1077" t="s">
        <v>4739</v>
      </c>
      <c r="F841" s="1185">
        <v>4</v>
      </c>
      <c r="G841" s="1186">
        <v>9</v>
      </c>
      <c r="H841" s="1186">
        <v>2.5641025641025643</v>
      </c>
      <c r="I841" s="1186">
        <v>9</v>
      </c>
      <c r="J841" s="1186">
        <v>2.8481012658227849</v>
      </c>
      <c r="K841" s="1186">
        <v>9</v>
      </c>
      <c r="L841" s="1186">
        <v>3.5856573705179287</v>
      </c>
      <c r="M841" s="1186">
        <v>9</v>
      </c>
      <c r="N841" s="1186">
        <v>4.838709677419355</v>
      </c>
      <c r="O841" s="1186">
        <v>12.26</v>
      </c>
      <c r="P841" s="1186">
        <v>6.8111111111111109</v>
      </c>
      <c r="Q841" s="1186">
        <v>9</v>
      </c>
      <c r="R841" s="1186">
        <v>2.0179372197309418</v>
      </c>
      <c r="S841" s="1186">
        <v>9</v>
      </c>
      <c r="T841" s="1186">
        <v>2.9411764705882351</v>
      </c>
      <c r="U841" s="1186">
        <v>9</v>
      </c>
      <c r="V841" s="1186">
        <v>3.25</v>
      </c>
      <c r="W841" s="1186"/>
      <c r="X841" s="1186"/>
      <c r="Y841" s="1186"/>
      <c r="Z841" s="1186"/>
      <c r="AA841" s="1186"/>
      <c r="AB841" s="1186"/>
      <c r="AC841" s="1186"/>
      <c r="AD841" s="1187"/>
    </row>
    <row r="842" spans="1:30" x14ac:dyDescent="0.2">
      <c r="A842">
        <f t="shared" si="46"/>
        <v>21</v>
      </c>
      <c r="B842">
        <v>833</v>
      </c>
      <c r="C842" s="1078">
        <v>2</v>
      </c>
      <c r="D842" s="1077" t="s">
        <v>4729</v>
      </c>
      <c r="E842" s="1077" t="s">
        <v>4740</v>
      </c>
      <c r="F842" s="1185">
        <v>4</v>
      </c>
      <c r="G842" s="1186">
        <v>12</v>
      </c>
      <c r="H842" s="1186">
        <v>2.4193548387096775</v>
      </c>
      <c r="I842" s="1186">
        <v>12</v>
      </c>
      <c r="J842" s="1186">
        <v>2.7210884353741496</v>
      </c>
      <c r="K842" s="1186">
        <v>12</v>
      </c>
      <c r="L842" s="1186">
        <v>3.4383954154727792</v>
      </c>
      <c r="M842" s="1186">
        <v>12</v>
      </c>
      <c r="N842" s="1186">
        <v>4.7430830039525693</v>
      </c>
      <c r="O842" s="1186">
        <v>13.13</v>
      </c>
      <c r="P842" s="1186">
        <v>6.6313131313131315</v>
      </c>
      <c r="Q842" s="1186">
        <v>12</v>
      </c>
      <c r="R842" s="1186">
        <v>1.9169329073482428</v>
      </c>
      <c r="S842" s="1186">
        <v>12</v>
      </c>
      <c r="T842" s="1186">
        <v>2.8846153846153846</v>
      </c>
      <c r="U842" s="1186">
        <v>12</v>
      </c>
      <c r="V842" s="1186">
        <v>3.72</v>
      </c>
      <c r="W842" s="1186"/>
      <c r="X842" s="1186"/>
      <c r="Y842" s="1186"/>
      <c r="Z842" s="1186"/>
      <c r="AA842" s="1186"/>
      <c r="AB842" s="1186"/>
      <c r="AC842" s="1186"/>
      <c r="AD842" s="1187"/>
    </row>
    <row r="843" spans="1:30" x14ac:dyDescent="0.2">
      <c r="A843">
        <f t="shared" si="46"/>
        <v>21</v>
      </c>
      <c r="B843">
        <v>834</v>
      </c>
      <c r="C843" s="1078">
        <v>2</v>
      </c>
      <c r="D843" s="1077" t="s">
        <v>4729</v>
      </c>
      <c r="E843" s="1077" t="s">
        <v>4741</v>
      </c>
      <c r="F843" s="1185">
        <v>4</v>
      </c>
      <c r="G843" s="1186">
        <v>16</v>
      </c>
      <c r="H843" s="1186">
        <v>2.3222060957910013</v>
      </c>
      <c r="I843" s="1186">
        <v>16</v>
      </c>
      <c r="J843" s="1186">
        <v>2.4922118380062304</v>
      </c>
      <c r="K843" s="1186">
        <v>16</v>
      </c>
      <c r="L843" s="1186">
        <v>3.0710172744721689</v>
      </c>
      <c r="M843" s="1186">
        <v>16</v>
      </c>
      <c r="N843" s="1186">
        <v>4.2780748663101598</v>
      </c>
      <c r="O843" s="1186">
        <v>16</v>
      </c>
      <c r="P843" s="1186">
        <v>5.4794520547945202</v>
      </c>
      <c r="Q843" s="1186">
        <v>16</v>
      </c>
      <c r="R843" s="1186">
        <v>1.8561484918793505</v>
      </c>
      <c r="S843" s="1186">
        <v>16</v>
      </c>
      <c r="T843" s="1186">
        <v>2.7072758037225042</v>
      </c>
      <c r="U843" s="1186">
        <v>16</v>
      </c>
      <c r="V843" s="1186">
        <v>3.47</v>
      </c>
      <c r="W843" s="1186"/>
      <c r="X843" s="1186"/>
      <c r="Y843" s="1186"/>
      <c r="Z843" s="1186"/>
      <c r="AA843" s="1186"/>
      <c r="AB843" s="1186"/>
      <c r="AC843" s="1186"/>
      <c r="AD843" s="1187"/>
    </row>
    <row r="844" spans="1:30" x14ac:dyDescent="0.2">
      <c r="A844">
        <f t="shared" ref="A844:A907" si="47">A843+(D844&lt;&gt;D843)*1</f>
        <v>21</v>
      </c>
      <c r="B844">
        <v>835</v>
      </c>
      <c r="C844" s="1078">
        <v>2</v>
      </c>
      <c r="D844" s="1077" t="s">
        <v>4729</v>
      </c>
      <c r="E844" s="1077" t="s">
        <v>4742</v>
      </c>
      <c r="F844" s="1185">
        <v>4</v>
      </c>
      <c r="G844" s="1186">
        <v>7.4</v>
      </c>
      <c r="H844" s="1186">
        <v>2.2400000000000002</v>
      </c>
      <c r="I844" s="1186">
        <v>6.6</v>
      </c>
      <c r="J844" s="1186">
        <v>3.1</v>
      </c>
      <c r="K844" s="1186">
        <v>5.7</v>
      </c>
      <c r="L844" s="1186">
        <v>4.0999999999999996</v>
      </c>
      <c r="M844" s="1186">
        <v>4.9000000000000004</v>
      </c>
      <c r="N844" s="1186">
        <v>4.9000000000000004</v>
      </c>
      <c r="O844" s="1186">
        <v>5.61</v>
      </c>
      <c r="P844" s="1186">
        <v>6.63</v>
      </c>
      <c r="Q844" s="1186">
        <v>5.6</v>
      </c>
      <c r="R844" s="1186">
        <v>2</v>
      </c>
      <c r="S844" s="1186">
        <v>4.8</v>
      </c>
      <c r="T844" s="1186">
        <v>2.8</v>
      </c>
      <c r="U844" s="1186">
        <v>8.7100000000000009</v>
      </c>
      <c r="V844" s="1186">
        <v>3.71</v>
      </c>
      <c r="W844" s="1186"/>
      <c r="X844" s="1186"/>
      <c r="Y844" s="1186"/>
      <c r="Z844" s="1186"/>
      <c r="AA844" s="1186"/>
      <c r="AB844" s="1186"/>
      <c r="AC844" s="1186"/>
      <c r="AD844" s="1187"/>
    </row>
    <row r="845" spans="1:30" x14ac:dyDescent="0.2">
      <c r="A845">
        <f t="shared" si="47"/>
        <v>21</v>
      </c>
      <c r="B845">
        <v>836</v>
      </c>
      <c r="C845" s="1078">
        <v>2</v>
      </c>
      <c r="D845" s="1077" t="s">
        <v>4729</v>
      </c>
      <c r="E845" s="1077" t="s">
        <v>4743</v>
      </c>
      <c r="F845" s="1185">
        <v>4</v>
      </c>
      <c r="G845" s="1186">
        <v>13.45</v>
      </c>
      <c r="H845" s="1186">
        <v>2.37</v>
      </c>
      <c r="I845" s="1186">
        <v>12.7</v>
      </c>
      <c r="J845" s="1186">
        <v>3</v>
      </c>
      <c r="K845" s="1186">
        <v>8.8000000000000007</v>
      </c>
      <c r="L845" s="1186">
        <v>4.2</v>
      </c>
      <c r="M845" s="1186">
        <v>6.1</v>
      </c>
      <c r="N845" s="1186">
        <v>5.0999999999999996</v>
      </c>
      <c r="O845" s="1186">
        <v>8.82</v>
      </c>
      <c r="P845" s="1186">
        <v>7.112903225806452</v>
      </c>
      <c r="Q845" s="1186">
        <v>12.7</v>
      </c>
      <c r="R845" s="1186">
        <v>2.1</v>
      </c>
      <c r="S845" s="1186">
        <v>7</v>
      </c>
      <c r="T845" s="1186">
        <v>2.9</v>
      </c>
      <c r="U845" s="1186">
        <v>9.2200000000000006</v>
      </c>
      <c r="V845" s="1186">
        <v>3.78</v>
      </c>
      <c r="W845" s="1186"/>
      <c r="X845" s="1186"/>
      <c r="Y845" s="1186"/>
      <c r="Z845" s="1186"/>
      <c r="AA845" s="1186"/>
      <c r="AB845" s="1186"/>
      <c r="AC845" s="1186"/>
      <c r="AD845" s="1187"/>
    </row>
    <row r="846" spans="1:30" x14ac:dyDescent="0.2">
      <c r="A846">
        <f t="shared" si="47"/>
        <v>21</v>
      </c>
      <c r="B846">
        <v>837</v>
      </c>
      <c r="C846" s="1078">
        <v>2</v>
      </c>
      <c r="D846" s="1077" t="s">
        <v>4729</v>
      </c>
      <c r="E846" s="1077" t="s">
        <v>4744</v>
      </c>
      <c r="F846" s="1185">
        <v>4</v>
      </c>
      <c r="G846" s="1186">
        <v>7.4</v>
      </c>
      <c r="H846" s="1186">
        <v>2.2400000000000002</v>
      </c>
      <c r="I846" s="1186">
        <v>6.6</v>
      </c>
      <c r="J846" s="1186">
        <v>3.1</v>
      </c>
      <c r="K846" s="1186">
        <v>5.7</v>
      </c>
      <c r="L846" s="1186">
        <v>4.0999999999999996</v>
      </c>
      <c r="M846" s="1186">
        <v>4.9000000000000004</v>
      </c>
      <c r="N846" s="1186">
        <v>4.9000000000000004</v>
      </c>
      <c r="O846" s="1186">
        <v>5.61</v>
      </c>
      <c r="P846" s="1186">
        <v>6.63</v>
      </c>
      <c r="Q846" s="1186">
        <v>5.6</v>
      </c>
      <c r="R846" s="1186">
        <v>2</v>
      </c>
      <c r="S846" s="1186">
        <v>4.8</v>
      </c>
      <c r="T846" s="1186">
        <v>2.8</v>
      </c>
      <c r="U846" s="1186">
        <v>8.7100000000000009</v>
      </c>
      <c r="V846" s="1186">
        <v>3.71</v>
      </c>
      <c r="W846" s="1186"/>
      <c r="X846" s="1186"/>
      <c r="Y846" s="1186"/>
      <c r="Z846" s="1186"/>
      <c r="AA846" s="1186"/>
      <c r="AB846" s="1186"/>
      <c r="AC846" s="1186"/>
      <c r="AD846" s="1187"/>
    </row>
    <row r="847" spans="1:30" x14ac:dyDescent="0.2">
      <c r="A847">
        <f t="shared" si="47"/>
        <v>21</v>
      </c>
      <c r="B847">
        <v>838</v>
      </c>
      <c r="C847" s="1078">
        <v>2</v>
      </c>
      <c r="D847" s="1077" t="s">
        <v>4729</v>
      </c>
      <c r="E847" s="1077" t="s">
        <v>4745</v>
      </c>
      <c r="F847" s="1185">
        <v>4</v>
      </c>
      <c r="G847" s="1186">
        <v>13.45</v>
      </c>
      <c r="H847" s="1186">
        <v>2.37</v>
      </c>
      <c r="I847" s="1186">
        <v>12.7</v>
      </c>
      <c r="J847" s="1186">
        <v>3</v>
      </c>
      <c r="K847" s="1186">
        <v>8.8000000000000007</v>
      </c>
      <c r="L847" s="1186">
        <v>4.2</v>
      </c>
      <c r="M847" s="1186">
        <v>6.1</v>
      </c>
      <c r="N847" s="1186">
        <v>5.0999999999999996</v>
      </c>
      <c r="O847" s="1186">
        <v>8.82</v>
      </c>
      <c r="P847" s="1186">
        <v>7.112903225806452</v>
      </c>
      <c r="Q847" s="1186">
        <v>12.7</v>
      </c>
      <c r="R847" s="1186">
        <v>2.1</v>
      </c>
      <c r="S847" s="1186">
        <v>7</v>
      </c>
      <c r="T847" s="1186">
        <v>2.9</v>
      </c>
      <c r="U847" s="1186">
        <v>9.2200000000000006</v>
      </c>
      <c r="V847" s="1186">
        <v>3.78</v>
      </c>
      <c r="W847" s="1186"/>
      <c r="X847" s="1186"/>
      <c r="Y847" s="1186"/>
      <c r="Z847" s="1186"/>
      <c r="AA847" s="1186"/>
      <c r="AB847" s="1186"/>
      <c r="AC847" s="1186"/>
      <c r="AD847" s="1187"/>
    </row>
    <row r="848" spans="1:30" x14ac:dyDescent="0.2">
      <c r="A848">
        <f t="shared" si="47"/>
        <v>21</v>
      </c>
      <c r="B848">
        <v>839</v>
      </c>
      <c r="C848" s="1078">
        <v>2</v>
      </c>
      <c r="D848" s="1077" t="s">
        <v>4729</v>
      </c>
      <c r="E848" s="1077" t="s">
        <v>4300</v>
      </c>
      <c r="F848" s="1185">
        <v>1</v>
      </c>
      <c r="G848" s="1186">
        <v>4.2</v>
      </c>
      <c r="H848" s="1186">
        <v>2.4</v>
      </c>
      <c r="I848" s="1186">
        <v>5.4</v>
      </c>
      <c r="J848" s="1186">
        <v>3</v>
      </c>
      <c r="K848" s="1186">
        <v>6.8</v>
      </c>
      <c r="L848" s="1186">
        <v>3.9</v>
      </c>
      <c r="M848" s="1186">
        <v>8.5</v>
      </c>
      <c r="N848" s="1186">
        <v>4.7</v>
      </c>
      <c r="O848" s="1186">
        <v>10.6</v>
      </c>
      <c r="P848" s="1186">
        <v>6</v>
      </c>
      <c r="Q848" s="1186">
        <v>5</v>
      </c>
      <c r="R848" s="1186">
        <v>1.9</v>
      </c>
      <c r="S848" s="1186">
        <v>7.5</v>
      </c>
      <c r="T848" s="1186">
        <v>2.9</v>
      </c>
      <c r="U848" s="1186">
        <v>9.6</v>
      </c>
      <c r="V848" s="1186">
        <v>3.5</v>
      </c>
      <c r="W848" s="1186"/>
      <c r="X848" s="1186"/>
      <c r="Y848" s="1186"/>
      <c r="Z848" s="1186"/>
      <c r="AA848" s="1186"/>
      <c r="AB848" s="1186"/>
      <c r="AC848" s="1186"/>
      <c r="AD848" s="1187"/>
    </row>
    <row r="849" spans="1:30" x14ac:dyDescent="0.2">
      <c r="A849">
        <f t="shared" si="47"/>
        <v>21</v>
      </c>
      <c r="B849">
        <v>840</v>
      </c>
      <c r="C849" s="1078">
        <v>2</v>
      </c>
      <c r="D849" s="1077" t="s">
        <v>4729</v>
      </c>
      <c r="E849" s="1077" t="s">
        <v>4307</v>
      </c>
      <c r="F849" s="1185">
        <v>1</v>
      </c>
      <c r="G849" s="1186">
        <v>5.7</v>
      </c>
      <c r="H849" s="1186">
        <v>2.6</v>
      </c>
      <c r="I849" s="1186">
        <v>7.1</v>
      </c>
      <c r="J849" s="1186">
        <v>3.1</v>
      </c>
      <c r="K849" s="1186">
        <v>9.4</v>
      </c>
      <c r="L849" s="1186">
        <v>4</v>
      </c>
      <c r="M849" s="1186">
        <v>11.5</v>
      </c>
      <c r="N849" s="1186">
        <v>4.8</v>
      </c>
      <c r="O849" s="1186">
        <v>14.4</v>
      </c>
      <c r="P849" s="1186">
        <v>6.1</v>
      </c>
      <c r="Q849" s="1186">
        <v>6.8</v>
      </c>
      <c r="R849" s="1186">
        <v>2.1</v>
      </c>
      <c r="S849" s="1186">
        <v>10.3</v>
      </c>
      <c r="T849" s="1186">
        <v>3</v>
      </c>
      <c r="U849" s="1186">
        <v>12.9</v>
      </c>
      <c r="V849" s="1186">
        <v>3.6</v>
      </c>
      <c r="W849" s="1186"/>
      <c r="X849" s="1186"/>
      <c r="Y849" s="1186"/>
      <c r="Z849" s="1186"/>
      <c r="AA849" s="1186"/>
      <c r="AB849" s="1186"/>
      <c r="AC849" s="1186"/>
      <c r="AD849" s="1187"/>
    </row>
    <row r="850" spans="1:30" x14ac:dyDescent="0.2">
      <c r="A850">
        <f t="shared" si="47"/>
        <v>21</v>
      </c>
      <c r="B850">
        <v>841</v>
      </c>
      <c r="C850" s="1078">
        <v>2</v>
      </c>
      <c r="D850" s="1077" t="s">
        <v>4729</v>
      </c>
      <c r="E850" s="1077" t="s">
        <v>4746</v>
      </c>
      <c r="F850" s="1185">
        <v>1</v>
      </c>
      <c r="G850" s="1186">
        <v>5.7</v>
      </c>
      <c r="H850" s="1186">
        <v>2.6</v>
      </c>
      <c r="I850" s="1186">
        <v>7.1</v>
      </c>
      <c r="J850" s="1186">
        <v>3.3</v>
      </c>
      <c r="K850" s="1186">
        <v>9.4</v>
      </c>
      <c r="L850" s="1186">
        <v>4.2</v>
      </c>
      <c r="M850" s="1186">
        <v>11.5</v>
      </c>
      <c r="N850" s="1186">
        <v>5</v>
      </c>
      <c r="O850" s="1186">
        <v>14.4</v>
      </c>
      <c r="P850" s="1186">
        <v>6.3</v>
      </c>
      <c r="Q850" s="1186">
        <v>6.9</v>
      </c>
      <c r="R850" s="1186">
        <v>2.2000000000000002</v>
      </c>
      <c r="S850" s="1186">
        <v>10.3</v>
      </c>
      <c r="T850" s="1186">
        <v>3.2</v>
      </c>
      <c r="U850" s="1186">
        <v>12.9</v>
      </c>
      <c r="V850" s="1186">
        <v>3.8</v>
      </c>
      <c r="W850" s="1186"/>
      <c r="X850" s="1186"/>
      <c r="Y850" s="1186"/>
      <c r="Z850" s="1186"/>
      <c r="AA850" s="1186"/>
      <c r="AB850" s="1186"/>
      <c r="AC850" s="1186"/>
      <c r="AD850" s="1187"/>
    </row>
    <row r="851" spans="1:30" x14ac:dyDescent="0.2">
      <c r="A851">
        <f t="shared" si="47"/>
        <v>21</v>
      </c>
      <c r="B851">
        <v>842</v>
      </c>
      <c r="C851" s="1078">
        <v>2</v>
      </c>
      <c r="D851" s="1077" t="s">
        <v>4729</v>
      </c>
      <c r="E851" s="1077" t="s">
        <v>4747</v>
      </c>
      <c r="F851" s="1185">
        <v>1</v>
      </c>
      <c r="G851" s="1186">
        <v>4.3</v>
      </c>
      <c r="H851" s="1186">
        <v>2.2999999999999998</v>
      </c>
      <c r="I851" s="1186">
        <v>5.3</v>
      </c>
      <c r="J851" s="1186">
        <v>2.9</v>
      </c>
      <c r="K851" s="1186">
        <v>6.6</v>
      </c>
      <c r="L851" s="1186">
        <v>3.6</v>
      </c>
      <c r="M851" s="1186">
        <v>7.7</v>
      </c>
      <c r="N851" s="1186">
        <v>4.0999999999999996</v>
      </c>
      <c r="O851" s="1186">
        <v>9.6</v>
      </c>
      <c r="P851" s="1186">
        <v>5.0999999999999996</v>
      </c>
      <c r="Q851" s="1186">
        <v>4.9000000000000004</v>
      </c>
      <c r="R851" s="1186">
        <v>1.8</v>
      </c>
      <c r="S851" s="1186">
        <v>7.4</v>
      </c>
      <c r="T851" s="1186">
        <v>3.2</v>
      </c>
      <c r="U851" s="1186">
        <v>9.1</v>
      </c>
      <c r="V851" s="1186">
        <v>3.2</v>
      </c>
      <c r="W851" s="1186"/>
      <c r="X851" s="1186"/>
      <c r="Y851" s="1186"/>
      <c r="Z851" s="1186"/>
      <c r="AA851" s="1186"/>
      <c r="AB851" s="1186"/>
      <c r="AC851" s="1186"/>
      <c r="AD851" s="1187"/>
    </row>
    <row r="852" spans="1:30" x14ac:dyDescent="0.2">
      <c r="A852">
        <f t="shared" si="47"/>
        <v>21</v>
      </c>
      <c r="B852">
        <v>843</v>
      </c>
      <c r="C852" s="1078">
        <v>2</v>
      </c>
      <c r="D852" s="1077" t="s">
        <v>4729</v>
      </c>
      <c r="E852" s="1077" t="s">
        <v>5547</v>
      </c>
      <c r="F852" s="1185">
        <v>1</v>
      </c>
      <c r="G852" s="1186">
        <v>5.7</v>
      </c>
      <c r="H852" s="1186">
        <v>2.6</v>
      </c>
      <c r="I852" s="1186">
        <v>7</v>
      </c>
      <c r="J852" s="1186">
        <v>3</v>
      </c>
      <c r="K852" s="1186">
        <v>8.3000000000000007</v>
      </c>
      <c r="L852" s="1186">
        <v>3.6</v>
      </c>
      <c r="M852" s="1186">
        <v>10</v>
      </c>
      <c r="N852" s="1186">
        <v>4.2</v>
      </c>
      <c r="O852" s="1186">
        <v>12.9</v>
      </c>
      <c r="P852" s="1186">
        <v>5.4</v>
      </c>
      <c r="Q852" s="1186">
        <v>6.4</v>
      </c>
      <c r="R852" s="1186">
        <v>2</v>
      </c>
      <c r="S852" s="1186">
        <v>9.8000000000000007</v>
      </c>
      <c r="T852" s="1186">
        <v>2.8</v>
      </c>
      <c r="U852" s="1186">
        <v>12.2</v>
      </c>
      <c r="V852" s="1186">
        <v>3.4</v>
      </c>
      <c r="W852" s="1186"/>
      <c r="X852" s="1186"/>
      <c r="Y852" s="1186"/>
      <c r="Z852" s="1186"/>
      <c r="AA852" s="1186"/>
      <c r="AB852" s="1186"/>
      <c r="AC852" s="1186"/>
      <c r="AD852" s="1187"/>
    </row>
    <row r="853" spans="1:30" x14ac:dyDescent="0.2">
      <c r="A853">
        <f t="shared" si="47"/>
        <v>21</v>
      </c>
      <c r="B853">
        <v>844</v>
      </c>
      <c r="C853" s="1078">
        <v>2</v>
      </c>
      <c r="D853" s="1077" t="s">
        <v>4729</v>
      </c>
      <c r="E853" s="1077" t="s">
        <v>5548</v>
      </c>
      <c r="F853" s="1185">
        <v>1</v>
      </c>
      <c r="G853" s="1186">
        <v>8.6</v>
      </c>
      <c r="H853" s="1186">
        <v>2.2000000000000002</v>
      </c>
      <c r="I853" s="1186">
        <v>10.7</v>
      </c>
      <c r="J853" s="1186">
        <v>2.7</v>
      </c>
      <c r="K853" s="1186">
        <v>13.4</v>
      </c>
      <c r="L853" s="1186">
        <v>3.3</v>
      </c>
      <c r="M853" s="1186">
        <v>16.399999999999999</v>
      </c>
      <c r="N853" s="1186">
        <v>4</v>
      </c>
      <c r="O853" s="1186">
        <v>22.5</v>
      </c>
      <c r="P853" s="1186">
        <v>5.2</v>
      </c>
      <c r="Q853" s="1186">
        <v>9.8000000000000007</v>
      </c>
      <c r="R853" s="1186">
        <v>1.7</v>
      </c>
      <c r="S853" s="1186">
        <v>15.6</v>
      </c>
      <c r="T853" s="1186">
        <v>2.5</v>
      </c>
      <c r="U853" s="1186">
        <v>21.3</v>
      </c>
      <c r="V853" s="1186">
        <v>3.5</v>
      </c>
      <c r="W853" s="1186"/>
      <c r="X853" s="1186"/>
      <c r="Y853" s="1186"/>
      <c r="Z853" s="1186"/>
      <c r="AA853" s="1186"/>
      <c r="AB853" s="1186"/>
      <c r="AC853" s="1186"/>
      <c r="AD853" s="1187"/>
    </row>
    <row r="854" spans="1:30" x14ac:dyDescent="0.2">
      <c r="A854">
        <f t="shared" si="47"/>
        <v>21</v>
      </c>
      <c r="B854">
        <v>845</v>
      </c>
      <c r="C854" s="1078">
        <v>2</v>
      </c>
      <c r="D854" s="1077" t="s">
        <v>4729</v>
      </c>
      <c r="E854" s="1077" t="s">
        <v>4748</v>
      </c>
      <c r="F854" s="1185">
        <v>2</v>
      </c>
      <c r="G854" s="1186">
        <v>10.4</v>
      </c>
      <c r="H854" s="1186">
        <v>2.5</v>
      </c>
      <c r="I854" s="1186">
        <v>12.8</v>
      </c>
      <c r="J854" s="1186">
        <v>2.9</v>
      </c>
      <c r="K854" s="1186">
        <v>14.7</v>
      </c>
      <c r="L854" s="1186">
        <v>3.3</v>
      </c>
      <c r="M854" s="1186">
        <v>17.7</v>
      </c>
      <c r="N854" s="1186">
        <v>4</v>
      </c>
      <c r="O854" s="1186">
        <v>22.3</v>
      </c>
      <c r="P854" s="1186">
        <v>4.7</v>
      </c>
      <c r="Q854" s="1186">
        <v>12.8</v>
      </c>
      <c r="R854" s="1186">
        <v>1.8</v>
      </c>
      <c r="S854" s="1186">
        <v>18</v>
      </c>
      <c r="T854" s="1186">
        <v>2.6</v>
      </c>
      <c r="U854" s="1186">
        <v>21.4</v>
      </c>
      <c r="V854" s="1186">
        <v>2.9</v>
      </c>
      <c r="W854" s="1186"/>
      <c r="X854" s="1186"/>
      <c r="Y854" s="1186"/>
      <c r="Z854" s="1186"/>
      <c r="AA854" s="1186"/>
      <c r="AB854" s="1186"/>
      <c r="AC854" s="1186"/>
      <c r="AD854" s="1187"/>
    </row>
    <row r="855" spans="1:30" x14ac:dyDescent="0.2">
      <c r="A855">
        <f t="shared" si="47"/>
        <v>21</v>
      </c>
      <c r="B855">
        <v>846</v>
      </c>
      <c r="C855" s="1078">
        <v>2</v>
      </c>
      <c r="D855" s="1077" t="s">
        <v>4729</v>
      </c>
      <c r="E855" s="1077" t="s">
        <v>4749</v>
      </c>
      <c r="F855" s="1185">
        <v>2</v>
      </c>
      <c r="G855" s="1186">
        <v>12.8</v>
      </c>
      <c r="H855" s="1186">
        <v>2.2999999999999998</v>
      </c>
      <c r="I855" s="1186">
        <v>15.7</v>
      </c>
      <c r="J855" s="1186">
        <v>2.7</v>
      </c>
      <c r="K855" s="1186">
        <v>19.899999999999999</v>
      </c>
      <c r="L855" s="1186">
        <v>3.4</v>
      </c>
      <c r="M855" s="1186">
        <v>23.4</v>
      </c>
      <c r="N855" s="1186">
        <v>3.9</v>
      </c>
      <c r="O855" s="1186">
        <v>27.5</v>
      </c>
      <c r="P855" s="1186">
        <v>4.4000000000000004</v>
      </c>
      <c r="Q855" s="1186">
        <v>15.7</v>
      </c>
      <c r="R855" s="1186">
        <v>1.9</v>
      </c>
      <c r="S855" s="1186">
        <v>22.4</v>
      </c>
      <c r="T855" s="1186">
        <v>2.6</v>
      </c>
      <c r="U855" s="1186">
        <v>26.3</v>
      </c>
      <c r="V855" s="1186">
        <v>3</v>
      </c>
      <c r="W855" s="1186"/>
      <c r="X855" s="1186"/>
      <c r="Y855" s="1186"/>
      <c r="Z855" s="1186"/>
      <c r="AA855" s="1186"/>
      <c r="AB855" s="1186"/>
      <c r="AC855" s="1186"/>
      <c r="AD855" s="1187"/>
    </row>
    <row r="856" spans="1:30" x14ac:dyDescent="0.2">
      <c r="A856">
        <f t="shared" si="47"/>
        <v>21</v>
      </c>
      <c r="B856">
        <v>847</v>
      </c>
      <c r="C856" s="1078">
        <v>2</v>
      </c>
      <c r="D856" s="1077" t="s">
        <v>4729</v>
      </c>
      <c r="E856" s="1077" t="s">
        <v>5549</v>
      </c>
      <c r="F856" s="1185">
        <v>2</v>
      </c>
      <c r="G856" s="1186">
        <v>18.3</v>
      </c>
      <c r="H856" s="1186">
        <v>2.4</v>
      </c>
      <c r="I856" s="1186">
        <v>21.6</v>
      </c>
      <c r="J856" s="1186">
        <v>2.8</v>
      </c>
      <c r="K856" s="1186">
        <v>25.2</v>
      </c>
      <c r="L856" s="1186">
        <v>3.3</v>
      </c>
      <c r="M856" s="1186">
        <v>27.8</v>
      </c>
      <c r="N856" s="1186">
        <v>3.5</v>
      </c>
      <c r="O856" s="1186">
        <v>31</v>
      </c>
      <c r="P856" s="1186">
        <v>4</v>
      </c>
      <c r="Q856" s="1186">
        <v>21.8</v>
      </c>
      <c r="R856" s="1186">
        <v>1.9</v>
      </c>
      <c r="S856" s="1186">
        <v>26.4</v>
      </c>
      <c r="T856" s="1186">
        <v>2.4</v>
      </c>
      <c r="U856" s="1186">
        <v>29.8</v>
      </c>
      <c r="V856" s="1186">
        <v>2.7</v>
      </c>
      <c r="W856" s="1186"/>
      <c r="X856" s="1186"/>
      <c r="Y856" s="1186"/>
      <c r="Z856" s="1186"/>
      <c r="AA856" s="1186"/>
      <c r="AB856" s="1186"/>
      <c r="AC856" s="1186"/>
      <c r="AD856" s="1187"/>
    </row>
    <row r="857" spans="1:30" x14ac:dyDescent="0.2">
      <c r="A857">
        <f t="shared" si="47"/>
        <v>21</v>
      </c>
      <c r="B857">
        <v>848</v>
      </c>
      <c r="C857" s="1078">
        <v>2</v>
      </c>
      <c r="D857" s="1077" t="s">
        <v>4729</v>
      </c>
      <c r="E857" s="1077" t="s">
        <v>4750</v>
      </c>
      <c r="F857" s="1185">
        <v>4</v>
      </c>
      <c r="G857" s="1186">
        <v>7.25</v>
      </c>
      <c r="H857" s="1186">
        <v>2.2799999999999998</v>
      </c>
      <c r="I857" s="1186">
        <v>6.4</v>
      </c>
      <c r="J857" s="1186">
        <v>3.2</v>
      </c>
      <c r="K857" s="1186">
        <v>5.8</v>
      </c>
      <c r="L857" s="1186">
        <v>4.0999999999999996</v>
      </c>
      <c r="M857" s="1186">
        <v>4.9000000000000004</v>
      </c>
      <c r="N857" s="1186">
        <v>5</v>
      </c>
      <c r="O857" s="1186">
        <v>5.61</v>
      </c>
      <c r="P857" s="1186">
        <v>6.63</v>
      </c>
      <c r="Q857" s="1186">
        <v>5.5</v>
      </c>
      <c r="R857" s="1186">
        <v>2</v>
      </c>
      <c r="S857" s="1186">
        <v>4.7</v>
      </c>
      <c r="T857" s="1186">
        <v>2.8</v>
      </c>
      <c r="U857" s="1186">
        <v>8.5500000000000007</v>
      </c>
      <c r="V857" s="1186">
        <v>3.69</v>
      </c>
      <c r="W857" s="1186"/>
      <c r="X857" s="1186"/>
      <c r="Y857" s="1186"/>
      <c r="Z857" s="1186"/>
      <c r="AA857" s="1186"/>
      <c r="AB857" s="1186"/>
      <c r="AC857" s="1186"/>
      <c r="AD857" s="1187"/>
    </row>
    <row r="858" spans="1:30" x14ac:dyDescent="0.2">
      <c r="A858">
        <f t="shared" si="47"/>
        <v>21</v>
      </c>
      <c r="B858">
        <v>849</v>
      </c>
      <c r="C858" s="1078">
        <v>2</v>
      </c>
      <c r="D858" s="1077" t="s">
        <v>4729</v>
      </c>
      <c r="E858" s="1077" t="s">
        <v>4751</v>
      </c>
      <c r="F858" s="1185">
        <v>4</v>
      </c>
      <c r="G858" s="1186">
        <v>13.67</v>
      </c>
      <c r="H858" s="1186">
        <v>2.41</v>
      </c>
      <c r="I858" s="1186">
        <v>12.9</v>
      </c>
      <c r="J858" s="1186">
        <v>3.2</v>
      </c>
      <c r="K858" s="1186">
        <v>8.8000000000000007</v>
      </c>
      <c r="L858" s="1186">
        <v>4.3</v>
      </c>
      <c r="M858" s="1186">
        <v>6.3</v>
      </c>
      <c r="N858" s="1186">
        <v>5.0999999999999996</v>
      </c>
      <c r="O858" s="1186">
        <v>8.82</v>
      </c>
      <c r="P858" s="1186">
        <v>7.112903225806452</v>
      </c>
      <c r="Q858" s="1186">
        <v>12.8</v>
      </c>
      <c r="R858" s="1186">
        <v>2.1</v>
      </c>
      <c r="S858" s="1186">
        <v>6.9</v>
      </c>
      <c r="T858" s="1186">
        <v>2.9</v>
      </c>
      <c r="U858" s="1186">
        <v>9.0399999999999991</v>
      </c>
      <c r="V858" s="1186">
        <v>3.83</v>
      </c>
      <c r="W858" s="1186"/>
      <c r="X858" s="1186"/>
      <c r="Y858" s="1186"/>
      <c r="Z858" s="1186"/>
      <c r="AA858" s="1186"/>
      <c r="AB858" s="1186"/>
      <c r="AC858" s="1186"/>
      <c r="AD858" s="1187"/>
    </row>
    <row r="859" spans="1:30" x14ac:dyDescent="0.2">
      <c r="A859">
        <f t="shared" si="47"/>
        <v>21</v>
      </c>
      <c r="B859">
        <v>850</v>
      </c>
      <c r="C859" s="1078">
        <v>2</v>
      </c>
      <c r="D859" s="1077" t="s">
        <v>4729</v>
      </c>
      <c r="E859" s="1077" t="s">
        <v>4752</v>
      </c>
      <c r="F859" s="1185">
        <v>4</v>
      </c>
      <c r="G859" s="1186">
        <v>7.25</v>
      </c>
      <c r="H859" s="1186">
        <v>2.2799999999999998</v>
      </c>
      <c r="I859" s="1186">
        <v>6.4</v>
      </c>
      <c r="J859" s="1186">
        <v>3.2</v>
      </c>
      <c r="K859" s="1186">
        <v>5.8</v>
      </c>
      <c r="L859" s="1186">
        <v>4.0999999999999996</v>
      </c>
      <c r="M859" s="1186">
        <v>4.9000000000000004</v>
      </c>
      <c r="N859" s="1186">
        <v>5</v>
      </c>
      <c r="O859" s="1186">
        <v>5.61</v>
      </c>
      <c r="P859" s="1186">
        <v>6.63</v>
      </c>
      <c r="Q859" s="1186">
        <v>5.5</v>
      </c>
      <c r="R859" s="1186">
        <v>2</v>
      </c>
      <c r="S859" s="1186">
        <v>4.7</v>
      </c>
      <c r="T859" s="1186">
        <v>2.8</v>
      </c>
      <c r="U859" s="1186">
        <v>8.5500000000000007</v>
      </c>
      <c r="V859" s="1186">
        <v>3.69</v>
      </c>
      <c r="W859" s="1186"/>
      <c r="X859" s="1186"/>
      <c r="Y859" s="1186"/>
      <c r="Z859" s="1186"/>
      <c r="AA859" s="1186"/>
      <c r="AB859" s="1186"/>
      <c r="AC859" s="1186"/>
      <c r="AD859" s="1187"/>
    </row>
    <row r="860" spans="1:30" x14ac:dyDescent="0.2">
      <c r="A860">
        <f t="shared" si="47"/>
        <v>21</v>
      </c>
      <c r="B860">
        <v>851</v>
      </c>
      <c r="C860" s="1078">
        <v>2</v>
      </c>
      <c r="D860" s="1077" t="s">
        <v>4729</v>
      </c>
      <c r="E860" s="1077" t="s">
        <v>4753</v>
      </c>
      <c r="F860" s="1185">
        <v>4</v>
      </c>
      <c r="G860" s="1186">
        <v>13.67</v>
      </c>
      <c r="H860" s="1186">
        <v>2.41</v>
      </c>
      <c r="I860" s="1186">
        <v>12.9</v>
      </c>
      <c r="J860" s="1186">
        <v>3.2</v>
      </c>
      <c r="K860" s="1186">
        <v>8.8000000000000007</v>
      </c>
      <c r="L860" s="1186">
        <v>4.3</v>
      </c>
      <c r="M860" s="1186">
        <v>6.3</v>
      </c>
      <c r="N860" s="1186">
        <v>5.0999999999999996</v>
      </c>
      <c r="O860" s="1186">
        <v>8.82</v>
      </c>
      <c r="P860" s="1186">
        <v>7.112903225806452</v>
      </c>
      <c r="Q860" s="1186">
        <v>12.8</v>
      </c>
      <c r="R860" s="1186">
        <v>2.1</v>
      </c>
      <c r="S860" s="1186">
        <v>6.9</v>
      </c>
      <c r="T860" s="1186">
        <v>2.9</v>
      </c>
      <c r="U860" s="1186">
        <v>9.0399999999999991</v>
      </c>
      <c r="V860" s="1186">
        <v>3.83</v>
      </c>
      <c r="W860" s="1186"/>
      <c r="X860" s="1186"/>
      <c r="Y860" s="1186"/>
      <c r="Z860" s="1186"/>
      <c r="AA860" s="1186"/>
      <c r="AB860" s="1186"/>
      <c r="AC860" s="1186"/>
      <c r="AD860" s="1187"/>
    </row>
    <row r="861" spans="1:30" x14ac:dyDescent="0.2">
      <c r="A861">
        <f t="shared" si="47"/>
        <v>21</v>
      </c>
      <c r="B861">
        <v>852</v>
      </c>
      <c r="C861" s="1078">
        <v>2</v>
      </c>
      <c r="D861" s="1077" t="s">
        <v>4729</v>
      </c>
      <c r="E861" s="1077" t="s">
        <v>4754</v>
      </c>
      <c r="F861" s="1185">
        <v>2</v>
      </c>
      <c r="G861" s="1186">
        <v>12.4</v>
      </c>
      <c r="H861" s="1186">
        <v>2.2999999999999998</v>
      </c>
      <c r="I861" s="1186">
        <v>16.3</v>
      </c>
      <c r="J861" s="1186">
        <v>3</v>
      </c>
      <c r="K861" s="1186">
        <v>19.5</v>
      </c>
      <c r="L861" s="1186">
        <v>3.7</v>
      </c>
      <c r="M861" s="1186">
        <v>24.5</v>
      </c>
      <c r="N861" s="1186">
        <v>4.3</v>
      </c>
      <c r="O861" s="1186">
        <v>27.6</v>
      </c>
      <c r="P861" s="1186">
        <v>4.3</v>
      </c>
      <c r="Q861" s="1186">
        <v>15</v>
      </c>
      <c r="R861" s="1186">
        <v>1.9</v>
      </c>
      <c r="S861" s="1186">
        <v>22.1</v>
      </c>
      <c r="T861" s="1186">
        <v>2.7</v>
      </c>
      <c r="U861" s="1186">
        <v>26</v>
      </c>
      <c r="V861" s="1186">
        <v>3.1</v>
      </c>
      <c r="W861" s="1186"/>
      <c r="X861" s="1186"/>
      <c r="Y861" s="1186"/>
      <c r="Z861" s="1186"/>
      <c r="AA861" s="1186"/>
      <c r="AB861" s="1186"/>
      <c r="AC861" s="1186"/>
      <c r="AD861" s="1187"/>
    </row>
    <row r="862" spans="1:30" x14ac:dyDescent="0.2">
      <c r="A862">
        <f t="shared" si="47"/>
        <v>21</v>
      </c>
      <c r="B862">
        <v>853</v>
      </c>
      <c r="C862" s="1078">
        <v>2</v>
      </c>
      <c r="D862" s="1077" t="s">
        <v>4729</v>
      </c>
      <c r="E862" s="1077" t="s">
        <v>4755</v>
      </c>
      <c r="F862" s="1185">
        <v>2</v>
      </c>
      <c r="G862" s="1186">
        <v>18.5</v>
      </c>
      <c r="H862" s="1186">
        <v>2.2999999999999998</v>
      </c>
      <c r="I862" s="1186">
        <v>22.6</v>
      </c>
      <c r="J862" s="1186">
        <v>2.9</v>
      </c>
      <c r="K862" s="1186">
        <v>27.6</v>
      </c>
      <c r="L862" s="1186">
        <v>3.6</v>
      </c>
      <c r="M862" s="1186">
        <v>32.700000000000003</v>
      </c>
      <c r="N862" s="1186">
        <v>4.0999999999999996</v>
      </c>
      <c r="O862" s="1186">
        <v>43.6</v>
      </c>
      <c r="P862" s="1186">
        <v>5.2</v>
      </c>
      <c r="Q862" s="1186">
        <v>21.5</v>
      </c>
      <c r="R862" s="1186">
        <v>1.7</v>
      </c>
      <c r="S862" s="1186">
        <v>31.6</v>
      </c>
      <c r="T862" s="1186">
        <v>2.7</v>
      </c>
      <c r="U862" s="1186">
        <v>41</v>
      </c>
      <c r="V862" s="1186">
        <v>3.5</v>
      </c>
      <c r="W862" s="1186"/>
      <c r="X862" s="1186"/>
      <c r="Y862" s="1186"/>
      <c r="Z862" s="1186"/>
      <c r="AA862" s="1186"/>
      <c r="AB862" s="1186"/>
      <c r="AC862" s="1186"/>
      <c r="AD862" s="1187"/>
    </row>
    <row r="863" spans="1:30" x14ac:dyDescent="0.2">
      <c r="A863">
        <f t="shared" si="47"/>
        <v>21</v>
      </c>
      <c r="B863">
        <v>854</v>
      </c>
      <c r="C863" s="1078">
        <v>2</v>
      </c>
      <c r="D863" s="1077" t="s">
        <v>4729</v>
      </c>
      <c r="E863" s="1077" t="s">
        <v>5550</v>
      </c>
      <c r="F863" s="1185">
        <v>2</v>
      </c>
      <c r="G863" s="1186">
        <v>15.6</v>
      </c>
      <c r="H863" s="1186">
        <v>2.2999999999999998</v>
      </c>
      <c r="I863" s="1186">
        <v>22.3</v>
      </c>
      <c r="J863" s="1186">
        <v>3.1</v>
      </c>
      <c r="K863" s="1186">
        <v>23.7</v>
      </c>
      <c r="L863" s="1186">
        <v>3.35</v>
      </c>
      <c r="M863" s="1186">
        <v>17.600000000000001</v>
      </c>
      <c r="N863" s="1186">
        <v>4.33</v>
      </c>
      <c r="O863" s="1186">
        <v>22</v>
      </c>
      <c r="P863" s="1186">
        <v>5</v>
      </c>
      <c r="Q863" s="1186">
        <v>21.8</v>
      </c>
      <c r="R863" s="1186">
        <v>2.2999999999999998</v>
      </c>
      <c r="S863" s="1186">
        <v>17.399999999999999</v>
      </c>
      <c r="T863" s="1186">
        <v>3.11</v>
      </c>
      <c r="U863" s="1186">
        <v>23.5</v>
      </c>
      <c r="V863" s="1186">
        <v>3.9</v>
      </c>
      <c r="W863" s="1186"/>
      <c r="X863" s="1186"/>
      <c r="Y863" s="1186"/>
      <c r="Z863" s="1186"/>
      <c r="AA863" s="1186"/>
      <c r="AB863" s="1186"/>
      <c r="AC863" s="1186"/>
      <c r="AD863" s="1187"/>
    </row>
    <row r="864" spans="1:30" x14ac:dyDescent="0.2">
      <c r="A864">
        <f t="shared" si="47"/>
        <v>21</v>
      </c>
      <c r="B864">
        <v>855</v>
      </c>
      <c r="C864" s="1078">
        <v>2</v>
      </c>
      <c r="D864" s="1077" t="s">
        <v>4729</v>
      </c>
      <c r="E864" s="1077" t="s">
        <v>4756</v>
      </c>
      <c r="F864" s="1185">
        <v>2</v>
      </c>
      <c r="G864" s="1186">
        <v>29.5</v>
      </c>
      <c r="H864" s="1186">
        <v>2.2999999999999998</v>
      </c>
      <c r="I864" s="1186">
        <v>38.1</v>
      </c>
      <c r="J864" s="1186">
        <v>2.9</v>
      </c>
      <c r="K864" s="1186">
        <v>47.2</v>
      </c>
      <c r="L864" s="1186">
        <v>3.6</v>
      </c>
      <c r="M864" s="1186">
        <v>55.8</v>
      </c>
      <c r="N864" s="1186">
        <v>4</v>
      </c>
      <c r="O864" s="1186">
        <v>72.2</v>
      </c>
      <c r="P864" s="1186">
        <v>4.9000000000000004</v>
      </c>
      <c r="Q864" s="1186">
        <v>33</v>
      </c>
      <c r="R864" s="1186">
        <v>2.1</v>
      </c>
      <c r="S864" s="1186">
        <v>56.4</v>
      </c>
      <c r="T864" s="1186">
        <v>3</v>
      </c>
      <c r="U864" s="1186">
        <v>68</v>
      </c>
      <c r="V864" s="1186">
        <v>3.5</v>
      </c>
      <c r="W864" s="1186"/>
      <c r="X864" s="1186"/>
      <c r="Y864" s="1186"/>
      <c r="Z864" s="1186"/>
      <c r="AA864" s="1186"/>
      <c r="AB864" s="1186"/>
      <c r="AC864" s="1186"/>
      <c r="AD864" s="1187"/>
    </row>
    <row r="865" spans="1:30" x14ac:dyDescent="0.2">
      <c r="A865">
        <f t="shared" si="47"/>
        <v>21</v>
      </c>
      <c r="B865">
        <v>856</v>
      </c>
      <c r="C865" s="1078">
        <v>2</v>
      </c>
      <c r="D865" s="1077" t="s">
        <v>4729</v>
      </c>
      <c r="E865" s="1077" t="s">
        <v>4757</v>
      </c>
      <c r="F865" s="1185">
        <v>1</v>
      </c>
      <c r="G865" s="1186">
        <v>4.3</v>
      </c>
      <c r="H865" s="1186">
        <v>2.5</v>
      </c>
      <c r="I865" s="1186">
        <v>5.5</v>
      </c>
      <c r="J865" s="1186">
        <v>3.2</v>
      </c>
      <c r="K865" s="1186">
        <v>7.2</v>
      </c>
      <c r="L865" s="1186">
        <v>4.2</v>
      </c>
      <c r="M865" s="1186">
        <v>8.4</v>
      </c>
      <c r="N865" s="1186">
        <v>4.8</v>
      </c>
      <c r="O865" s="1186">
        <v>11.3</v>
      </c>
      <c r="P865" s="1186">
        <v>6.6</v>
      </c>
      <c r="Q865" s="1186">
        <v>5.3</v>
      </c>
      <c r="R865" s="1186">
        <v>2.2000000000000002</v>
      </c>
      <c r="S865" s="1186">
        <v>8</v>
      </c>
      <c r="T865" s="1186">
        <v>3.1</v>
      </c>
      <c r="U865" s="1186">
        <v>9.5</v>
      </c>
      <c r="V865" s="1186">
        <v>3.8</v>
      </c>
      <c r="W865" s="1186"/>
      <c r="X865" s="1186"/>
      <c r="Y865" s="1186"/>
      <c r="Z865" s="1186"/>
      <c r="AA865" s="1186"/>
      <c r="AB865" s="1186"/>
      <c r="AC865" s="1186"/>
      <c r="AD865" s="1187"/>
    </row>
    <row r="866" spans="1:30" x14ac:dyDescent="0.2">
      <c r="A866">
        <f t="shared" si="47"/>
        <v>21</v>
      </c>
      <c r="B866">
        <v>857</v>
      </c>
      <c r="C866" s="1078">
        <v>2</v>
      </c>
      <c r="D866" s="1077" t="s">
        <v>4729</v>
      </c>
      <c r="E866" s="1077" t="s">
        <v>4758</v>
      </c>
      <c r="F866" s="1185">
        <v>1</v>
      </c>
      <c r="G866" s="1186">
        <v>5.6</v>
      </c>
      <c r="H866" s="1186">
        <v>2.4</v>
      </c>
      <c r="I866" s="1186">
        <v>7.3</v>
      </c>
      <c r="J866" s="1186">
        <v>3.1</v>
      </c>
      <c r="K866" s="1186">
        <v>9.5</v>
      </c>
      <c r="L866" s="1186">
        <v>4</v>
      </c>
      <c r="M866" s="1186">
        <v>11.3</v>
      </c>
      <c r="N866" s="1186">
        <v>4.7</v>
      </c>
      <c r="O866" s="1186">
        <v>14.7</v>
      </c>
      <c r="P866" s="1186">
        <v>6.4</v>
      </c>
      <c r="Q866" s="1186">
        <v>7.2</v>
      </c>
      <c r="R866" s="1186">
        <v>2.2000000000000002</v>
      </c>
      <c r="S866" s="1186">
        <v>10</v>
      </c>
      <c r="T866" s="1186">
        <v>3</v>
      </c>
      <c r="U866" s="1186">
        <v>12.9</v>
      </c>
      <c r="V866" s="1186">
        <v>3.9</v>
      </c>
      <c r="W866" s="1186"/>
      <c r="X866" s="1186"/>
      <c r="Y866" s="1186"/>
      <c r="Z866" s="1186"/>
      <c r="AA866" s="1186"/>
      <c r="AB866" s="1186"/>
      <c r="AC866" s="1186"/>
      <c r="AD866" s="1187"/>
    </row>
    <row r="867" spans="1:30" x14ac:dyDescent="0.2">
      <c r="A867">
        <f t="shared" si="47"/>
        <v>21</v>
      </c>
      <c r="B867">
        <v>858</v>
      </c>
      <c r="C867" s="1078">
        <v>2</v>
      </c>
      <c r="D867" s="1077" t="s">
        <v>4729</v>
      </c>
      <c r="E867" s="1077" t="s">
        <v>5551</v>
      </c>
      <c r="F867" s="1185">
        <v>2</v>
      </c>
      <c r="G867" s="1186">
        <v>8.3800000000000008</v>
      </c>
      <c r="H867" s="1186">
        <v>2.5</v>
      </c>
      <c r="I867" s="1186">
        <v>10.6</v>
      </c>
      <c r="J867" s="1186">
        <v>3.2</v>
      </c>
      <c r="K867" s="1186">
        <v>12.3</v>
      </c>
      <c r="L867" s="1186">
        <v>3.8</v>
      </c>
      <c r="M867" s="1186">
        <v>15.1</v>
      </c>
      <c r="N867" s="1186">
        <v>3.8</v>
      </c>
      <c r="O867" s="1186">
        <v>13</v>
      </c>
      <c r="P867" s="1186">
        <v>6.5</v>
      </c>
      <c r="Q867" s="1186">
        <v>10.4</v>
      </c>
      <c r="R867" s="1186">
        <v>2.15</v>
      </c>
      <c r="S867" s="1186">
        <v>7.7</v>
      </c>
      <c r="T867" s="1186">
        <v>3.1</v>
      </c>
      <c r="U867" s="1186">
        <v>12</v>
      </c>
      <c r="V867" s="1186">
        <v>3.8</v>
      </c>
      <c r="W867" s="1186"/>
      <c r="X867" s="1186"/>
      <c r="Y867" s="1186"/>
      <c r="Z867" s="1186"/>
      <c r="AA867" s="1186"/>
      <c r="AB867" s="1186"/>
      <c r="AC867" s="1186"/>
      <c r="AD867" s="1187"/>
    </row>
    <row r="868" spans="1:30" x14ac:dyDescent="0.2">
      <c r="A868">
        <f t="shared" si="47"/>
        <v>21</v>
      </c>
      <c r="B868">
        <v>859</v>
      </c>
      <c r="C868" s="1078">
        <v>2</v>
      </c>
      <c r="D868" s="1077" t="s">
        <v>4729</v>
      </c>
      <c r="E868" s="1077" t="s">
        <v>4759</v>
      </c>
      <c r="F868" s="1185">
        <v>1</v>
      </c>
      <c r="G868" s="1186">
        <v>4.3</v>
      </c>
      <c r="H868" s="1186">
        <v>2.5</v>
      </c>
      <c r="I868" s="1186">
        <v>5.5</v>
      </c>
      <c r="J868" s="1186">
        <v>3.2</v>
      </c>
      <c r="K868" s="1186">
        <v>7.2</v>
      </c>
      <c r="L868" s="1186">
        <v>4.2</v>
      </c>
      <c r="M868" s="1186">
        <v>8.4</v>
      </c>
      <c r="N868" s="1186">
        <v>4.8</v>
      </c>
      <c r="O868" s="1186">
        <v>11.3</v>
      </c>
      <c r="P868" s="1186">
        <v>6.6</v>
      </c>
      <c r="Q868" s="1186">
        <v>5.3</v>
      </c>
      <c r="R868" s="1186">
        <v>2.2000000000000002</v>
      </c>
      <c r="S868" s="1186">
        <v>8</v>
      </c>
      <c r="T868" s="1186">
        <v>3.1</v>
      </c>
      <c r="U868" s="1186">
        <v>9.5</v>
      </c>
      <c r="V868" s="1186">
        <v>3.8</v>
      </c>
      <c r="W868" s="1186"/>
      <c r="X868" s="1186"/>
      <c r="Y868" s="1186"/>
      <c r="Z868" s="1186"/>
      <c r="AA868" s="1186"/>
      <c r="AB868" s="1186"/>
      <c r="AC868" s="1186"/>
      <c r="AD868" s="1187"/>
    </row>
    <row r="869" spans="1:30" x14ac:dyDescent="0.2">
      <c r="A869">
        <f t="shared" si="47"/>
        <v>21</v>
      </c>
      <c r="B869">
        <v>860</v>
      </c>
      <c r="C869" s="1078">
        <v>2</v>
      </c>
      <c r="D869" s="1077" t="s">
        <v>4729</v>
      </c>
      <c r="E869" s="1077" t="s">
        <v>4760</v>
      </c>
      <c r="F869" s="1185">
        <v>1</v>
      </c>
      <c r="G869" s="1186">
        <v>5.6</v>
      </c>
      <c r="H869" s="1186">
        <v>2.4</v>
      </c>
      <c r="I869" s="1186">
        <v>7.3</v>
      </c>
      <c r="J869" s="1186">
        <v>3.1</v>
      </c>
      <c r="K869" s="1186">
        <v>9.5</v>
      </c>
      <c r="L869" s="1186">
        <v>4</v>
      </c>
      <c r="M869" s="1186">
        <v>11.3</v>
      </c>
      <c r="N869" s="1186">
        <v>4.7</v>
      </c>
      <c r="O869" s="1186">
        <v>14.7</v>
      </c>
      <c r="P869" s="1186">
        <v>6.4</v>
      </c>
      <c r="Q869" s="1186">
        <v>7.2</v>
      </c>
      <c r="R869" s="1186">
        <v>2.2000000000000002</v>
      </c>
      <c r="S869" s="1186">
        <v>10</v>
      </c>
      <c r="T869" s="1186">
        <v>3</v>
      </c>
      <c r="U869" s="1186">
        <v>12.9</v>
      </c>
      <c r="V869" s="1186">
        <v>3.9</v>
      </c>
      <c r="W869" s="1186"/>
      <c r="X869" s="1186"/>
      <c r="Y869" s="1186"/>
      <c r="Z869" s="1186"/>
      <c r="AA869" s="1186"/>
      <c r="AB869" s="1186"/>
      <c r="AC869" s="1186"/>
      <c r="AD869" s="1187"/>
    </row>
    <row r="870" spans="1:30" x14ac:dyDescent="0.2">
      <c r="A870">
        <f t="shared" si="47"/>
        <v>21</v>
      </c>
      <c r="B870">
        <v>861</v>
      </c>
      <c r="C870" s="1078">
        <v>2</v>
      </c>
      <c r="D870" s="1077" t="s">
        <v>4729</v>
      </c>
      <c r="E870" s="1077" t="s">
        <v>5552</v>
      </c>
      <c r="F870" s="1185">
        <v>2</v>
      </c>
      <c r="G870" s="1186">
        <v>8.3800000000000008</v>
      </c>
      <c r="H870" s="1186">
        <v>2.12</v>
      </c>
      <c r="I870" s="1186">
        <v>10.6</v>
      </c>
      <c r="J870" s="1186">
        <v>3.2</v>
      </c>
      <c r="K870" s="1186">
        <v>12.3</v>
      </c>
      <c r="L870" s="1186">
        <v>3.8</v>
      </c>
      <c r="M870" s="1186">
        <v>8.4</v>
      </c>
      <c r="N870" s="1186">
        <v>4.8</v>
      </c>
      <c r="O870" s="1186">
        <v>13</v>
      </c>
      <c r="P870" s="1186">
        <v>6.05</v>
      </c>
      <c r="Q870" s="1186">
        <v>10.4</v>
      </c>
      <c r="R870" s="1186">
        <v>1.76</v>
      </c>
      <c r="S870" s="1186">
        <v>9.1999999999999993</v>
      </c>
      <c r="T870" s="1186">
        <v>3.1</v>
      </c>
      <c r="U870" s="1186">
        <v>12</v>
      </c>
      <c r="V870" s="1186">
        <v>3.81</v>
      </c>
      <c r="W870" s="1186"/>
      <c r="X870" s="1186"/>
      <c r="Y870" s="1186"/>
      <c r="Z870" s="1186"/>
      <c r="AA870" s="1186"/>
      <c r="AB870" s="1186"/>
      <c r="AC870" s="1186"/>
      <c r="AD870" s="1187"/>
    </row>
    <row r="871" spans="1:30" x14ac:dyDescent="0.2">
      <c r="A871">
        <f t="shared" si="47"/>
        <v>21</v>
      </c>
      <c r="B871">
        <v>862</v>
      </c>
      <c r="C871" s="1078">
        <v>2</v>
      </c>
      <c r="D871" s="1077" t="s">
        <v>4729</v>
      </c>
      <c r="E871" s="1077" t="s">
        <v>4756</v>
      </c>
      <c r="F871" s="1185">
        <v>2</v>
      </c>
      <c r="G871" s="1186">
        <v>29.5</v>
      </c>
      <c r="H871" s="1186">
        <v>2.2999999999999998</v>
      </c>
      <c r="I871" s="1186">
        <v>38.1</v>
      </c>
      <c r="J871" s="1186">
        <v>2.9</v>
      </c>
      <c r="K871" s="1186">
        <v>47.2</v>
      </c>
      <c r="L871" s="1186">
        <v>3.6</v>
      </c>
      <c r="M871" s="1186">
        <v>55.8</v>
      </c>
      <c r="N871" s="1186">
        <v>4</v>
      </c>
      <c r="O871" s="1186">
        <v>72.2</v>
      </c>
      <c r="P871" s="1186">
        <v>4.9000000000000004</v>
      </c>
      <c r="Q871" s="1186">
        <v>33</v>
      </c>
      <c r="R871" s="1186">
        <v>2.1</v>
      </c>
      <c r="S871" s="1186">
        <v>56.4</v>
      </c>
      <c r="T871" s="1186">
        <v>3</v>
      </c>
      <c r="U871" s="1186">
        <v>68</v>
      </c>
      <c r="V871" s="1186">
        <v>3.5</v>
      </c>
      <c r="W871" s="1186"/>
      <c r="X871" s="1186"/>
      <c r="Y871" s="1186"/>
      <c r="Z871" s="1186"/>
      <c r="AA871" s="1186"/>
      <c r="AB871" s="1186"/>
      <c r="AC871" s="1186"/>
      <c r="AD871" s="1187"/>
    </row>
    <row r="872" spans="1:30" x14ac:dyDescent="0.2">
      <c r="A872">
        <f t="shared" si="47"/>
        <v>21</v>
      </c>
      <c r="B872">
        <v>863</v>
      </c>
      <c r="C872" s="1078">
        <v>2</v>
      </c>
      <c r="D872" s="1077" t="s">
        <v>4729</v>
      </c>
      <c r="E872" s="1077" t="s">
        <v>4757</v>
      </c>
      <c r="F872" s="1185">
        <v>1</v>
      </c>
      <c r="G872" s="1186">
        <v>4.3</v>
      </c>
      <c r="H872" s="1186">
        <v>2.5</v>
      </c>
      <c r="I872" s="1186">
        <v>5.5</v>
      </c>
      <c r="J872" s="1186">
        <v>3.2</v>
      </c>
      <c r="K872" s="1186">
        <v>7.2</v>
      </c>
      <c r="L872" s="1186">
        <v>4.2</v>
      </c>
      <c r="M872" s="1186">
        <v>8.4</v>
      </c>
      <c r="N872" s="1186">
        <v>4.8</v>
      </c>
      <c r="O872" s="1186">
        <v>11.3</v>
      </c>
      <c r="P872" s="1186">
        <v>6.6</v>
      </c>
      <c r="Q872" s="1186">
        <v>5.3</v>
      </c>
      <c r="R872" s="1186">
        <v>2.2000000000000002</v>
      </c>
      <c r="S872" s="1186">
        <v>8</v>
      </c>
      <c r="T872" s="1186">
        <v>3.1</v>
      </c>
      <c r="U872" s="1186">
        <v>9.5</v>
      </c>
      <c r="V872" s="1186">
        <v>3.8</v>
      </c>
      <c r="W872" s="1186"/>
      <c r="X872" s="1186"/>
      <c r="Y872" s="1186"/>
      <c r="Z872" s="1186"/>
      <c r="AA872" s="1186"/>
      <c r="AB872" s="1186"/>
      <c r="AC872" s="1186"/>
      <c r="AD872" s="1187"/>
    </row>
    <row r="873" spans="1:30" x14ac:dyDescent="0.2">
      <c r="A873">
        <f t="shared" si="47"/>
        <v>21</v>
      </c>
      <c r="B873">
        <v>864</v>
      </c>
      <c r="C873" s="1078">
        <v>2</v>
      </c>
      <c r="D873" s="1077" t="s">
        <v>4729</v>
      </c>
      <c r="E873" s="1077" t="s">
        <v>4758</v>
      </c>
      <c r="F873" s="1185">
        <v>1</v>
      </c>
      <c r="G873" s="1186">
        <v>5.6</v>
      </c>
      <c r="H873" s="1186">
        <v>2.4</v>
      </c>
      <c r="I873" s="1186">
        <v>7.3</v>
      </c>
      <c r="J873" s="1186">
        <v>3.1</v>
      </c>
      <c r="K873" s="1186">
        <v>9.5</v>
      </c>
      <c r="L873" s="1186">
        <v>4</v>
      </c>
      <c r="M873" s="1186">
        <v>11.3</v>
      </c>
      <c r="N873" s="1186">
        <v>4.7</v>
      </c>
      <c r="O873" s="1186">
        <v>14.7</v>
      </c>
      <c r="P873" s="1186">
        <v>6.4</v>
      </c>
      <c r="Q873" s="1186">
        <v>7.2</v>
      </c>
      <c r="R873" s="1186">
        <v>2.2000000000000002</v>
      </c>
      <c r="S873" s="1186">
        <v>10</v>
      </c>
      <c r="T873" s="1186">
        <v>3</v>
      </c>
      <c r="U873" s="1186">
        <v>12.9</v>
      </c>
      <c r="V873" s="1186">
        <v>3.9</v>
      </c>
      <c r="W873" s="1186"/>
      <c r="X873" s="1186"/>
      <c r="Y873" s="1186"/>
      <c r="Z873" s="1186"/>
      <c r="AA873" s="1186"/>
      <c r="AB873" s="1186"/>
      <c r="AC873" s="1186"/>
      <c r="AD873" s="1194"/>
    </row>
    <row r="874" spans="1:30" x14ac:dyDescent="0.2">
      <c r="A874">
        <f t="shared" si="47"/>
        <v>21</v>
      </c>
      <c r="B874">
        <v>865</v>
      </c>
      <c r="C874" s="1078">
        <v>2</v>
      </c>
      <c r="D874" s="1077" t="s">
        <v>4729</v>
      </c>
      <c r="E874" s="1077" t="s">
        <v>5304</v>
      </c>
      <c r="F874" s="1185">
        <v>2</v>
      </c>
      <c r="G874" s="1186">
        <v>8.3800000000000008</v>
      </c>
      <c r="H874" s="1186">
        <v>2.5</v>
      </c>
      <c r="I874" s="1186">
        <v>10.6</v>
      </c>
      <c r="J874" s="1186">
        <v>3.2</v>
      </c>
      <c r="K874" s="1186">
        <v>12.3</v>
      </c>
      <c r="L874" s="1186">
        <v>3.8</v>
      </c>
      <c r="M874" s="1186">
        <v>15.1</v>
      </c>
      <c r="N874" s="1186">
        <v>3.8</v>
      </c>
      <c r="O874" s="1186">
        <v>13</v>
      </c>
      <c r="P874" s="1186">
        <v>6.5</v>
      </c>
      <c r="Q874" s="1186">
        <v>10.4</v>
      </c>
      <c r="R874" s="1186">
        <v>2.15</v>
      </c>
      <c r="S874" s="1186">
        <v>7.7</v>
      </c>
      <c r="T874" s="1186">
        <v>3.1</v>
      </c>
      <c r="U874" s="1186">
        <v>12</v>
      </c>
      <c r="V874" s="1186">
        <v>3.8</v>
      </c>
      <c r="W874" s="1186"/>
      <c r="X874" s="1186"/>
      <c r="Y874" s="1186"/>
      <c r="Z874" s="1186"/>
      <c r="AA874" s="1186"/>
      <c r="AB874" s="1186"/>
      <c r="AC874" s="1186"/>
      <c r="AD874" s="1195"/>
    </row>
    <row r="875" spans="1:30" x14ac:dyDescent="0.2">
      <c r="A875">
        <f t="shared" si="47"/>
        <v>21</v>
      </c>
      <c r="B875">
        <v>866</v>
      </c>
      <c r="C875" s="1078">
        <v>2</v>
      </c>
      <c r="D875" s="1077" t="s">
        <v>4729</v>
      </c>
      <c r="E875" s="1077" t="s">
        <v>4759</v>
      </c>
      <c r="F875" s="1185">
        <v>1</v>
      </c>
      <c r="G875" s="1186">
        <v>4.3</v>
      </c>
      <c r="H875" s="1186">
        <v>2.5</v>
      </c>
      <c r="I875" s="1186">
        <v>5.5</v>
      </c>
      <c r="J875" s="1186">
        <v>3.2</v>
      </c>
      <c r="K875" s="1186">
        <v>7.2</v>
      </c>
      <c r="L875" s="1186">
        <v>4.2</v>
      </c>
      <c r="M875" s="1186">
        <v>8.4</v>
      </c>
      <c r="N875" s="1186">
        <v>4.8</v>
      </c>
      <c r="O875" s="1186">
        <v>11.3</v>
      </c>
      <c r="P875" s="1186">
        <v>6.6</v>
      </c>
      <c r="Q875" s="1186">
        <v>5.3</v>
      </c>
      <c r="R875" s="1186">
        <v>2.2000000000000002</v>
      </c>
      <c r="S875" s="1186">
        <v>8</v>
      </c>
      <c r="T875" s="1186">
        <v>3.1</v>
      </c>
      <c r="U875" s="1186">
        <v>9.5</v>
      </c>
      <c r="V875" s="1186">
        <v>3.8</v>
      </c>
      <c r="W875" s="1186"/>
      <c r="X875" s="1186"/>
      <c r="Y875" s="1186"/>
      <c r="Z875" s="1186"/>
      <c r="AA875" s="1186"/>
      <c r="AB875" s="1186"/>
      <c r="AC875" s="1186"/>
      <c r="AD875" s="1187"/>
    </row>
    <row r="876" spans="1:30" x14ac:dyDescent="0.2">
      <c r="A876">
        <f t="shared" si="47"/>
        <v>22</v>
      </c>
      <c r="B876">
        <v>867</v>
      </c>
      <c r="C876" s="1078">
        <v>2</v>
      </c>
      <c r="D876" s="1077" t="s">
        <v>3916</v>
      </c>
      <c r="E876" s="1077" t="s">
        <v>4146</v>
      </c>
      <c r="F876" s="1185">
        <v>4</v>
      </c>
      <c r="G876" s="1186"/>
      <c r="H876" s="1186"/>
      <c r="I876" s="1186">
        <v>6.3</v>
      </c>
      <c r="J876" s="1186">
        <v>3.2</v>
      </c>
      <c r="K876" s="1186">
        <v>8</v>
      </c>
      <c r="L876" s="1186">
        <v>4.0999999999999996</v>
      </c>
      <c r="M876" s="1186">
        <v>9.6999999999999993</v>
      </c>
      <c r="N876" s="1186">
        <v>5</v>
      </c>
      <c r="O876" s="1186"/>
      <c r="P876" s="1186"/>
      <c r="Q876" s="1186">
        <v>4.7</v>
      </c>
      <c r="R876" s="1186">
        <v>1.6</v>
      </c>
      <c r="S876" s="1186">
        <v>8.3000000000000007</v>
      </c>
      <c r="T876" s="1186">
        <v>2.8</v>
      </c>
      <c r="U876" s="1186">
        <v>11.4</v>
      </c>
      <c r="V876" s="1186">
        <v>3.7</v>
      </c>
      <c r="W876" s="1186"/>
      <c r="X876" s="1186"/>
      <c r="Y876" s="1186"/>
      <c r="Z876" s="1186"/>
      <c r="AA876" s="1186"/>
      <c r="AB876" s="1186"/>
      <c r="AC876" s="1186"/>
      <c r="AD876" s="1187"/>
    </row>
    <row r="877" spans="1:30" x14ac:dyDescent="0.2">
      <c r="A877">
        <f t="shared" si="47"/>
        <v>22</v>
      </c>
      <c r="B877">
        <v>868</v>
      </c>
      <c r="C877" s="1078">
        <v>2</v>
      </c>
      <c r="D877" s="1077" t="s">
        <v>3916</v>
      </c>
      <c r="E877" s="1077" t="s">
        <v>4147</v>
      </c>
      <c r="F877" s="1185">
        <v>4</v>
      </c>
      <c r="G877" s="1186"/>
      <c r="H877" s="1186"/>
      <c r="I877" s="1186">
        <v>8</v>
      </c>
      <c r="J877" s="1186">
        <v>3.3</v>
      </c>
      <c r="K877" s="1186">
        <v>10.1</v>
      </c>
      <c r="L877" s="1186">
        <v>4.2</v>
      </c>
      <c r="M877" s="1186">
        <v>12.3</v>
      </c>
      <c r="N877" s="1186">
        <v>5.4</v>
      </c>
      <c r="O877" s="1186"/>
      <c r="P877" s="1186"/>
      <c r="Q877" s="1186">
        <v>5.7</v>
      </c>
      <c r="R877" s="1186">
        <v>1.6</v>
      </c>
      <c r="S877" s="1186">
        <v>10.4</v>
      </c>
      <c r="T877" s="1186">
        <v>2.8</v>
      </c>
      <c r="U877" s="1186">
        <v>13.6</v>
      </c>
      <c r="V877" s="1186">
        <v>3.7</v>
      </c>
      <c r="W877" s="1186"/>
      <c r="X877" s="1186"/>
      <c r="Y877" s="1186"/>
      <c r="Z877" s="1186"/>
      <c r="AA877" s="1186"/>
      <c r="AB877" s="1186"/>
      <c r="AC877" s="1186"/>
      <c r="AD877" s="1187"/>
    </row>
    <row r="878" spans="1:30" x14ac:dyDescent="0.2">
      <c r="A878">
        <f t="shared" si="47"/>
        <v>22</v>
      </c>
      <c r="B878">
        <v>869</v>
      </c>
      <c r="C878" s="1078">
        <v>2</v>
      </c>
      <c r="D878" s="1077" t="s">
        <v>3916</v>
      </c>
      <c r="E878" s="1077" t="s">
        <v>4148</v>
      </c>
      <c r="F878" s="1185">
        <v>4</v>
      </c>
      <c r="G878" s="1186"/>
      <c r="H878" s="1186"/>
      <c r="I878" s="1186">
        <v>15.7</v>
      </c>
      <c r="J878" s="1186">
        <v>2.9</v>
      </c>
      <c r="K878" s="1186">
        <v>11.2</v>
      </c>
      <c r="L878" s="1186">
        <v>3.9</v>
      </c>
      <c r="M878" s="1186">
        <v>8.3000000000000007</v>
      </c>
      <c r="N878" s="1186">
        <v>5.4</v>
      </c>
      <c r="O878" s="1186"/>
      <c r="P878" s="1186"/>
      <c r="Q878" s="1186">
        <v>9.8000000000000007</v>
      </c>
      <c r="R878" s="1186">
        <v>1.8</v>
      </c>
      <c r="S878" s="1186">
        <v>14.8</v>
      </c>
      <c r="T878" s="1186">
        <v>3</v>
      </c>
      <c r="U878" s="1186">
        <v>14</v>
      </c>
      <c r="V878" s="1186">
        <v>4.0999999999999996</v>
      </c>
      <c r="W878" s="1186"/>
      <c r="X878" s="1186"/>
      <c r="Y878" s="1186"/>
      <c r="Z878" s="1186"/>
      <c r="AA878" s="1186"/>
      <c r="AB878" s="1186"/>
      <c r="AC878" s="1186"/>
      <c r="AD878" s="1187"/>
    </row>
    <row r="879" spans="1:30" x14ac:dyDescent="0.2">
      <c r="A879">
        <f t="shared" si="47"/>
        <v>22</v>
      </c>
      <c r="B879">
        <v>870</v>
      </c>
      <c r="C879" s="1078">
        <v>2</v>
      </c>
      <c r="D879" s="1077" t="s">
        <v>3916</v>
      </c>
      <c r="E879" s="1077" t="s">
        <v>4149</v>
      </c>
      <c r="F879" s="1185">
        <v>4</v>
      </c>
      <c r="G879" s="1186"/>
      <c r="H879" s="1186"/>
      <c r="I879" s="1186">
        <v>15.7</v>
      </c>
      <c r="J879" s="1186">
        <v>2.9</v>
      </c>
      <c r="K879" s="1186">
        <v>11.2</v>
      </c>
      <c r="L879" s="1186">
        <v>3.9</v>
      </c>
      <c r="M879" s="1186">
        <v>8.3000000000000007</v>
      </c>
      <c r="N879" s="1186">
        <v>5.4</v>
      </c>
      <c r="O879" s="1186"/>
      <c r="P879" s="1186"/>
      <c r="Q879" s="1186">
        <v>9.8000000000000007</v>
      </c>
      <c r="R879" s="1186">
        <v>1.8</v>
      </c>
      <c r="S879" s="1186">
        <v>14.8</v>
      </c>
      <c r="T879" s="1186">
        <v>3</v>
      </c>
      <c r="U879" s="1186">
        <v>14</v>
      </c>
      <c r="V879" s="1186">
        <v>4.0999999999999996</v>
      </c>
      <c r="W879" s="1186"/>
      <c r="X879" s="1186"/>
      <c r="Y879" s="1186"/>
      <c r="Z879" s="1186"/>
      <c r="AA879" s="1186"/>
      <c r="AB879" s="1186"/>
      <c r="AC879" s="1186"/>
      <c r="AD879" s="1187"/>
    </row>
    <row r="880" spans="1:30" x14ac:dyDescent="0.2">
      <c r="A880">
        <f t="shared" si="47"/>
        <v>22</v>
      </c>
      <c r="B880">
        <v>871</v>
      </c>
      <c r="C880" s="1078">
        <v>2</v>
      </c>
      <c r="D880" s="1077" t="s">
        <v>3916</v>
      </c>
      <c r="E880" s="1077" t="s">
        <v>4150</v>
      </c>
      <c r="F880" s="1185">
        <v>4</v>
      </c>
      <c r="G880" s="1186"/>
      <c r="H880" s="1186"/>
      <c r="I880" s="1186">
        <v>9</v>
      </c>
      <c r="J880" s="1186">
        <v>3.3</v>
      </c>
      <c r="K880" s="1186">
        <v>11.5</v>
      </c>
      <c r="L880" s="1186">
        <v>4.2</v>
      </c>
      <c r="M880" s="1186">
        <v>10.199999999999999</v>
      </c>
      <c r="N880" s="1186">
        <v>5.3</v>
      </c>
      <c r="O880" s="1186"/>
      <c r="P880" s="1186"/>
      <c r="Q880" s="1186">
        <v>7.1</v>
      </c>
      <c r="R880" s="1186">
        <v>1.8</v>
      </c>
      <c r="S880" s="1186">
        <v>8.5</v>
      </c>
      <c r="T880" s="1186">
        <v>3.1</v>
      </c>
      <c r="U880" s="1186">
        <v>11.4</v>
      </c>
      <c r="V880" s="1186">
        <v>4.0999999999999996</v>
      </c>
      <c r="W880" s="1186"/>
      <c r="X880" s="1186"/>
      <c r="Y880" s="1186"/>
      <c r="Z880" s="1186"/>
      <c r="AA880" s="1186"/>
      <c r="AB880" s="1186"/>
      <c r="AC880" s="1186"/>
      <c r="AD880" s="1187"/>
    </row>
    <row r="881" spans="1:30" x14ac:dyDescent="0.2">
      <c r="A881">
        <f t="shared" si="47"/>
        <v>22</v>
      </c>
      <c r="B881">
        <v>872</v>
      </c>
      <c r="C881" s="1078">
        <v>2</v>
      </c>
      <c r="D881" s="1077" t="s">
        <v>3916</v>
      </c>
      <c r="E881" s="1077" t="s">
        <v>4151</v>
      </c>
      <c r="F881" s="1185">
        <v>4</v>
      </c>
      <c r="G881" s="1186"/>
      <c r="H881" s="1186"/>
      <c r="I881" s="1186">
        <v>9</v>
      </c>
      <c r="J881" s="1186">
        <v>3.3</v>
      </c>
      <c r="K881" s="1186">
        <v>11.5</v>
      </c>
      <c r="L881" s="1186">
        <v>4.2</v>
      </c>
      <c r="M881" s="1186">
        <v>10.199999999999999</v>
      </c>
      <c r="N881" s="1186">
        <v>5.3</v>
      </c>
      <c r="O881" s="1186"/>
      <c r="P881" s="1186"/>
      <c r="Q881" s="1186">
        <v>7.1</v>
      </c>
      <c r="R881" s="1186">
        <v>1.8</v>
      </c>
      <c r="S881" s="1186">
        <v>8.5</v>
      </c>
      <c r="T881" s="1186">
        <v>3.1</v>
      </c>
      <c r="U881" s="1186">
        <v>11.4</v>
      </c>
      <c r="V881" s="1186">
        <v>4.0999999999999996</v>
      </c>
      <c r="W881" s="1186"/>
      <c r="X881" s="1186"/>
      <c r="Y881" s="1186"/>
      <c r="Z881" s="1186"/>
      <c r="AA881" s="1186"/>
      <c r="AB881" s="1186"/>
      <c r="AC881" s="1186"/>
      <c r="AD881" s="1187"/>
    </row>
    <row r="882" spans="1:30" x14ac:dyDescent="0.2">
      <c r="A882">
        <f t="shared" si="47"/>
        <v>22</v>
      </c>
      <c r="B882">
        <v>873</v>
      </c>
      <c r="C882" s="1078">
        <v>2</v>
      </c>
      <c r="D882" s="1077" t="s">
        <v>3916</v>
      </c>
      <c r="E882" s="1077" t="s">
        <v>4152</v>
      </c>
      <c r="F882" s="1185">
        <v>4</v>
      </c>
      <c r="G882" s="1186"/>
      <c r="H882" s="1186"/>
      <c r="I882" s="1186">
        <v>9.6999999999999993</v>
      </c>
      <c r="J882" s="1186">
        <v>3.2</v>
      </c>
      <c r="K882" s="1186">
        <v>12.5</v>
      </c>
      <c r="L882" s="1186">
        <v>4.0999999999999996</v>
      </c>
      <c r="M882" s="1186">
        <v>15.1</v>
      </c>
      <c r="N882" s="1186">
        <v>5.0999999999999996</v>
      </c>
      <c r="O882" s="1186"/>
      <c r="P882" s="1186"/>
      <c r="Q882" s="1186">
        <v>7.4</v>
      </c>
      <c r="R882" s="1186">
        <v>1.6</v>
      </c>
      <c r="S882" s="1186">
        <v>13</v>
      </c>
      <c r="T882" s="1186">
        <v>2.8</v>
      </c>
      <c r="U882" s="1186">
        <v>17.899999999999999</v>
      </c>
      <c r="V882" s="1186">
        <v>3.7</v>
      </c>
      <c r="W882" s="1186"/>
      <c r="X882" s="1186"/>
      <c r="Y882" s="1186"/>
      <c r="Z882" s="1186"/>
      <c r="AA882" s="1186"/>
      <c r="AB882" s="1186"/>
      <c r="AC882" s="1186"/>
      <c r="AD882" s="1187"/>
    </row>
    <row r="883" spans="1:30" x14ac:dyDescent="0.2">
      <c r="A883">
        <f t="shared" si="47"/>
        <v>22</v>
      </c>
      <c r="B883">
        <v>874</v>
      </c>
      <c r="C883" s="1078">
        <v>2</v>
      </c>
      <c r="D883" s="1077" t="s">
        <v>3916</v>
      </c>
      <c r="E883" s="1077" t="s">
        <v>4153</v>
      </c>
      <c r="F883" s="1185">
        <v>4</v>
      </c>
      <c r="G883" s="1186"/>
      <c r="H883" s="1186"/>
      <c r="I883" s="1186">
        <v>16.7</v>
      </c>
      <c r="J883" s="1186">
        <v>3.3</v>
      </c>
      <c r="K883" s="1186">
        <v>20.9</v>
      </c>
      <c r="L883" s="1186">
        <v>4.0999999999999996</v>
      </c>
      <c r="M883" s="1186">
        <v>16.2</v>
      </c>
      <c r="N883" s="1186">
        <v>5.4</v>
      </c>
      <c r="O883" s="1186"/>
      <c r="P883" s="1186"/>
      <c r="Q883" s="1186">
        <v>12.5</v>
      </c>
      <c r="R883" s="1186">
        <v>1.8</v>
      </c>
      <c r="S883" s="1186">
        <v>21.4</v>
      </c>
      <c r="T883" s="1186">
        <v>3</v>
      </c>
      <c r="U883" s="1186">
        <v>17.899999999999999</v>
      </c>
      <c r="V883" s="1186">
        <v>4.0999999999999996</v>
      </c>
      <c r="W883" s="1186"/>
      <c r="X883" s="1186"/>
      <c r="Y883" s="1186"/>
      <c r="Z883" s="1186"/>
      <c r="AA883" s="1186"/>
      <c r="AB883" s="1186"/>
      <c r="AC883" s="1186"/>
      <c r="AD883" s="1187"/>
    </row>
    <row r="884" spans="1:30" x14ac:dyDescent="0.2">
      <c r="A884">
        <f t="shared" si="47"/>
        <v>22</v>
      </c>
      <c r="B884">
        <v>875</v>
      </c>
      <c r="C884" s="1078">
        <v>3</v>
      </c>
      <c r="D884" s="1077" t="s">
        <v>3916</v>
      </c>
      <c r="E884" s="1077" t="s">
        <v>4154</v>
      </c>
      <c r="F884" s="1185">
        <v>1</v>
      </c>
      <c r="G884" s="1186"/>
      <c r="H884" s="1186"/>
      <c r="I884" s="1186"/>
      <c r="J884" s="1186"/>
      <c r="K884" s="1186"/>
      <c r="L884" s="1186"/>
      <c r="M884" s="1186"/>
      <c r="N884" s="1186"/>
      <c r="O884" s="1186"/>
      <c r="P884" s="1186"/>
      <c r="Q884" s="1186"/>
      <c r="R884" s="1186"/>
      <c r="S884" s="1186"/>
      <c r="T884" s="1186"/>
      <c r="U884" s="1186"/>
      <c r="V884" s="1186"/>
      <c r="W884" s="1186">
        <v>5.9</v>
      </c>
      <c r="X884" s="1186">
        <v>4.5999999999999996</v>
      </c>
      <c r="Y884" s="1186">
        <v>5.2</v>
      </c>
      <c r="Z884" s="1186">
        <v>2.5</v>
      </c>
      <c r="AA884" s="1186">
        <v>7.5</v>
      </c>
      <c r="AB884" s="1186">
        <v>6.4</v>
      </c>
      <c r="AC884" s="1186">
        <v>6.4</v>
      </c>
      <c r="AD884" s="1187">
        <v>3.4</v>
      </c>
    </row>
    <row r="885" spans="1:30" x14ac:dyDescent="0.2">
      <c r="A885">
        <f t="shared" si="47"/>
        <v>22</v>
      </c>
      <c r="B885">
        <v>876</v>
      </c>
      <c r="C885" s="1078">
        <v>3</v>
      </c>
      <c r="D885" s="1077" t="s">
        <v>3916</v>
      </c>
      <c r="E885" s="1077" t="s">
        <v>4155</v>
      </c>
      <c r="F885" s="1185">
        <v>1</v>
      </c>
      <c r="G885" s="1186"/>
      <c r="H885" s="1186"/>
      <c r="I885" s="1186"/>
      <c r="J885" s="1186"/>
      <c r="K885" s="1186"/>
      <c r="L885" s="1186"/>
      <c r="M885" s="1186"/>
      <c r="N885" s="1186"/>
      <c r="O885" s="1186"/>
      <c r="P885" s="1186"/>
      <c r="Q885" s="1186"/>
      <c r="R885" s="1186"/>
      <c r="S885" s="1186"/>
      <c r="T885" s="1186"/>
      <c r="U885" s="1186"/>
      <c r="V885" s="1186"/>
      <c r="W885" s="1186">
        <v>7</v>
      </c>
      <c r="X885" s="1186">
        <v>4.5999999999999996</v>
      </c>
      <c r="Y885" s="1186">
        <v>6.4</v>
      </c>
      <c r="Z885" s="1186">
        <v>2.6</v>
      </c>
      <c r="AA885" s="1186">
        <v>9.3000000000000007</v>
      </c>
      <c r="AB885" s="1186">
        <v>6.4</v>
      </c>
      <c r="AC885" s="1186">
        <v>8.1</v>
      </c>
      <c r="AD885" s="1187">
        <v>3.4</v>
      </c>
    </row>
    <row r="886" spans="1:30" x14ac:dyDescent="0.2">
      <c r="A886">
        <f t="shared" si="47"/>
        <v>22</v>
      </c>
      <c r="B886">
        <v>877</v>
      </c>
      <c r="C886" s="1078">
        <v>3</v>
      </c>
      <c r="D886" s="1077" t="s">
        <v>3916</v>
      </c>
      <c r="E886" s="1077" t="s">
        <v>4156</v>
      </c>
      <c r="F886" s="1185">
        <v>1</v>
      </c>
      <c r="G886" s="1186"/>
      <c r="H886" s="1186"/>
      <c r="I886" s="1186"/>
      <c r="J886" s="1186"/>
      <c r="K886" s="1186"/>
      <c r="L886" s="1186"/>
      <c r="M886" s="1186"/>
      <c r="N886" s="1186"/>
      <c r="O886" s="1186"/>
      <c r="P886" s="1186"/>
      <c r="Q886" s="1186"/>
      <c r="R886" s="1186"/>
      <c r="S886" s="1186"/>
      <c r="T886" s="1186"/>
      <c r="U886" s="1186"/>
      <c r="V886" s="1186"/>
      <c r="W886" s="1186">
        <v>7.6</v>
      </c>
      <c r="X886" s="1186">
        <v>4.5999999999999996</v>
      </c>
      <c r="Y886" s="1186">
        <v>7</v>
      </c>
      <c r="Z886" s="1186">
        <v>2.7</v>
      </c>
      <c r="AA886" s="1186"/>
      <c r="AB886" s="1186"/>
      <c r="AC886" s="1186"/>
      <c r="AD886" s="1187"/>
    </row>
    <row r="887" spans="1:30" x14ac:dyDescent="0.2">
      <c r="A887">
        <f t="shared" si="47"/>
        <v>22</v>
      </c>
      <c r="B887">
        <v>878</v>
      </c>
      <c r="C887" s="1078">
        <v>3</v>
      </c>
      <c r="D887" s="1077" t="s">
        <v>3916</v>
      </c>
      <c r="E887" s="1077" t="s">
        <v>4157</v>
      </c>
      <c r="F887" s="1185">
        <v>1</v>
      </c>
      <c r="G887" s="1186"/>
      <c r="H887" s="1186"/>
      <c r="I887" s="1186"/>
      <c r="J887" s="1186"/>
      <c r="K887" s="1186"/>
      <c r="L887" s="1186"/>
      <c r="M887" s="1186"/>
      <c r="N887" s="1186"/>
      <c r="O887" s="1186"/>
      <c r="P887" s="1186"/>
      <c r="Q887" s="1186"/>
      <c r="R887" s="1186"/>
      <c r="S887" s="1186"/>
      <c r="T887" s="1186"/>
      <c r="U887" s="1186"/>
      <c r="V887" s="1186"/>
      <c r="W887" s="1186">
        <v>7.6</v>
      </c>
      <c r="X887" s="1186">
        <v>4.5</v>
      </c>
      <c r="Y887" s="1186">
        <v>6.3</v>
      </c>
      <c r="Z887" s="1186">
        <v>2.5</v>
      </c>
      <c r="AA887" s="1186">
        <v>10.3</v>
      </c>
      <c r="AB887" s="1186">
        <v>6.2</v>
      </c>
      <c r="AC887" s="1186">
        <v>8.5</v>
      </c>
      <c r="AD887" s="1187">
        <v>3.3</v>
      </c>
    </row>
    <row r="888" spans="1:30" x14ac:dyDescent="0.2">
      <c r="A888">
        <f t="shared" si="47"/>
        <v>22</v>
      </c>
      <c r="B888">
        <v>879</v>
      </c>
      <c r="C888" s="1078">
        <v>3</v>
      </c>
      <c r="D888" s="1077" t="s">
        <v>3916</v>
      </c>
      <c r="E888" s="1077" t="s">
        <v>4158</v>
      </c>
      <c r="F888" s="1185">
        <v>1</v>
      </c>
      <c r="G888" s="1186"/>
      <c r="H888" s="1186"/>
      <c r="I888" s="1186"/>
      <c r="J888" s="1186"/>
      <c r="K888" s="1186"/>
      <c r="L888" s="1186"/>
      <c r="M888" s="1186"/>
      <c r="N888" s="1186"/>
      <c r="O888" s="1186"/>
      <c r="P888" s="1186"/>
      <c r="Q888" s="1186"/>
      <c r="R888" s="1186"/>
      <c r="S888" s="1186"/>
      <c r="T888" s="1186"/>
      <c r="U888" s="1186"/>
      <c r="V888" s="1186"/>
      <c r="W888" s="1186">
        <v>8</v>
      </c>
      <c r="X888" s="1186">
        <v>4.5</v>
      </c>
      <c r="Y888" s="1186">
        <v>6.7</v>
      </c>
      <c r="Z888" s="1186">
        <v>2.7</v>
      </c>
      <c r="AA888" s="1186"/>
      <c r="AB888" s="1186"/>
      <c r="AC888" s="1186"/>
      <c r="AD888" s="1187"/>
    </row>
    <row r="889" spans="1:30" x14ac:dyDescent="0.2">
      <c r="A889">
        <f t="shared" si="47"/>
        <v>22</v>
      </c>
      <c r="B889">
        <v>880</v>
      </c>
      <c r="C889" s="1078">
        <v>3</v>
      </c>
      <c r="D889" s="1077" t="s">
        <v>3916</v>
      </c>
      <c r="E889" s="1077" t="s">
        <v>4159</v>
      </c>
      <c r="F889" s="1185">
        <v>1</v>
      </c>
      <c r="G889" s="1186"/>
      <c r="H889" s="1186"/>
      <c r="I889" s="1186"/>
      <c r="J889" s="1186"/>
      <c r="K889" s="1186"/>
      <c r="L889" s="1186"/>
      <c r="M889" s="1186"/>
      <c r="N889" s="1186"/>
      <c r="O889" s="1186"/>
      <c r="P889" s="1186"/>
      <c r="Q889" s="1186"/>
      <c r="R889" s="1186"/>
      <c r="S889" s="1186"/>
      <c r="T889" s="1186"/>
      <c r="U889" s="1186"/>
      <c r="V889" s="1186"/>
      <c r="W889" s="1186">
        <v>10.3</v>
      </c>
      <c r="X889" s="1186">
        <v>4.5</v>
      </c>
      <c r="Y889" s="1186">
        <v>8.5</v>
      </c>
      <c r="Z889" s="1186">
        <v>2.7</v>
      </c>
      <c r="AA889" s="1186"/>
      <c r="AB889" s="1186"/>
      <c r="AC889" s="1186"/>
      <c r="AD889" s="1187"/>
    </row>
    <row r="890" spans="1:30" x14ac:dyDescent="0.2">
      <c r="A890">
        <f t="shared" si="47"/>
        <v>22</v>
      </c>
      <c r="B890">
        <v>881</v>
      </c>
      <c r="C890" s="1078">
        <v>3</v>
      </c>
      <c r="D890" s="1077" t="s">
        <v>3916</v>
      </c>
      <c r="E890" s="1077" t="s">
        <v>4160</v>
      </c>
      <c r="F890" s="1185">
        <v>1</v>
      </c>
      <c r="G890" s="1186"/>
      <c r="H890" s="1186"/>
      <c r="I890" s="1186"/>
      <c r="J890" s="1186"/>
      <c r="K890" s="1186"/>
      <c r="L890" s="1186"/>
      <c r="M890" s="1186"/>
      <c r="N890" s="1186"/>
      <c r="O890" s="1186"/>
      <c r="P890" s="1186"/>
      <c r="Q890" s="1186"/>
      <c r="R890" s="1186"/>
      <c r="S890" s="1186"/>
      <c r="T890" s="1186"/>
      <c r="U890" s="1186"/>
      <c r="V890" s="1186"/>
      <c r="W890" s="1186">
        <v>10.4</v>
      </c>
      <c r="X890" s="1186">
        <v>4.7</v>
      </c>
      <c r="Y890" s="1186">
        <v>9.1</v>
      </c>
      <c r="Z890" s="1186">
        <v>2.5</v>
      </c>
      <c r="AA890" s="1186">
        <v>13.9</v>
      </c>
      <c r="AB890" s="1186">
        <v>6.5</v>
      </c>
      <c r="AC890" s="1186">
        <v>12.1</v>
      </c>
      <c r="AD890" s="1187">
        <v>3.5</v>
      </c>
    </row>
    <row r="891" spans="1:30" x14ac:dyDescent="0.2">
      <c r="A891">
        <f t="shared" si="47"/>
        <v>22</v>
      </c>
      <c r="B891">
        <v>882</v>
      </c>
      <c r="C891" s="1078">
        <v>3</v>
      </c>
      <c r="D891" s="1077" t="s">
        <v>3916</v>
      </c>
      <c r="E891" s="1077" t="s">
        <v>4161</v>
      </c>
      <c r="F891" s="1185">
        <v>1</v>
      </c>
      <c r="G891" s="1186"/>
      <c r="H891" s="1186"/>
      <c r="I891" s="1186"/>
      <c r="J891" s="1186"/>
      <c r="K891" s="1186"/>
      <c r="L891" s="1186"/>
      <c r="M891" s="1186"/>
      <c r="N891" s="1186"/>
      <c r="O891" s="1186"/>
      <c r="P891" s="1186"/>
      <c r="Q891" s="1186"/>
      <c r="R891" s="1186"/>
      <c r="S891" s="1186"/>
      <c r="T891" s="1186"/>
      <c r="U891" s="1186"/>
      <c r="V891" s="1186"/>
      <c r="W891" s="1186">
        <v>15.2</v>
      </c>
      <c r="X891" s="1186">
        <v>4.7</v>
      </c>
      <c r="Y891" s="1186">
        <v>12.7</v>
      </c>
      <c r="Z891" s="1186">
        <v>2.5</v>
      </c>
      <c r="AA891" s="1186">
        <v>19.899999999999999</v>
      </c>
      <c r="AB891" s="1186">
        <v>6.4</v>
      </c>
      <c r="AC891" s="1186">
        <v>17.5</v>
      </c>
      <c r="AD891" s="1187">
        <v>3.5</v>
      </c>
    </row>
    <row r="892" spans="1:30" x14ac:dyDescent="0.2">
      <c r="A892">
        <f t="shared" si="47"/>
        <v>22</v>
      </c>
      <c r="B892">
        <v>883</v>
      </c>
      <c r="C892" s="1078">
        <v>4</v>
      </c>
      <c r="D892" s="1077" t="s">
        <v>3916</v>
      </c>
      <c r="E892" s="1077" t="s">
        <v>4162</v>
      </c>
      <c r="F892" s="1185">
        <v>4</v>
      </c>
      <c r="G892" s="1186"/>
      <c r="H892" s="1186"/>
      <c r="I892" s="1186"/>
      <c r="J892" s="1186"/>
      <c r="K892" s="1186"/>
      <c r="L892" s="1186"/>
      <c r="M892" s="1186"/>
      <c r="N892" s="1186"/>
      <c r="O892" s="1186"/>
      <c r="P892" s="1186"/>
      <c r="Q892" s="1186"/>
      <c r="R892" s="1186"/>
      <c r="S892" s="1186"/>
      <c r="T892" s="1186"/>
      <c r="U892" s="1186"/>
      <c r="V892" s="1186"/>
      <c r="W892" s="1186"/>
      <c r="X892" s="1186"/>
      <c r="Y892" s="1186"/>
      <c r="Z892" s="1186"/>
      <c r="AA892" s="1186">
        <v>10.7</v>
      </c>
      <c r="AB892" s="1186">
        <v>6.5</v>
      </c>
      <c r="AC892" s="1186">
        <v>9.6</v>
      </c>
      <c r="AD892" s="1187">
        <v>3.5</v>
      </c>
    </row>
    <row r="893" spans="1:30" x14ac:dyDescent="0.2">
      <c r="A893">
        <f t="shared" si="47"/>
        <v>22</v>
      </c>
      <c r="B893">
        <v>884</v>
      </c>
      <c r="C893" s="1078">
        <v>4</v>
      </c>
      <c r="D893" s="1077" t="s">
        <v>3916</v>
      </c>
      <c r="E893" s="1077" t="s">
        <v>4163</v>
      </c>
      <c r="F893" s="1185">
        <v>4</v>
      </c>
      <c r="G893" s="1186"/>
      <c r="H893" s="1186"/>
      <c r="I893" s="1186"/>
      <c r="J893" s="1186"/>
      <c r="K893" s="1186"/>
      <c r="L893" s="1186"/>
      <c r="M893" s="1186"/>
      <c r="N893" s="1186"/>
      <c r="O893" s="1186"/>
      <c r="P893" s="1186"/>
      <c r="Q893" s="1186"/>
      <c r="R893" s="1186"/>
      <c r="S893" s="1186"/>
      <c r="T893" s="1186"/>
      <c r="U893" s="1186"/>
      <c r="V893" s="1186"/>
      <c r="W893" s="1186"/>
      <c r="X893" s="1186"/>
      <c r="Y893" s="1186"/>
      <c r="Z893" s="1186"/>
      <c r="AA893" s="1186">
        <v>11.4</v>
      </c>
      <c r="AB893" s="1186">
        <v>6.4</v>
      </c>
      <c r="AC893" s="1186">
        <v>9.1999999999999993</v>
      </c>
      <c r="AD893" s="1187">
        <v>3.5</v>
      </c>
    </row>
    <row r="894" spans="1:30" x14ac:dyDescent="0.2">
      <c r="A894">
        <f t="shared" si="47"/>
        <v>22</v>
      </c>
      <c r="B894">
        <v>885</v>
      </c>
      <c r="C894" s="1078">
        <v>4</v>
      </c>
      <c r="D894" s="1077" t="s">
        <v>3916</v>
      </c>
      <c r="E894" s="1077" t="s">
        <v>4164</v>
      </c>
      <c r="F894" s="1185">
        <v>1</v>
      </c>
      <c r="G894" s="1186"/>
      <c r="H894" s="1186"/>
      <c r="I894" s="1186"/>
      <c r="J894" s="1186"/>
      <c r="K894" s="1186"/>
      <c r="L894" s="1186"/>
      <c r="M894" s="1186"/>
      <c r="N894" s="1186"/>
      <c r="O894" s="1186"/>
      <c r="P894" s="1186"/>
      <c r="Q894" s="1186"/>
      <c r="R894" s="1186"/>
      <c r="S894" s="1186"/>
      <c r="T894" s="1186"/>
      <c r="U894" s="1186"/>
      <c r="V894" s="1186"/>
      <c r="W894" s="1186"/>
      <c r="X894" s="1186"/>
      <c r="Y894" s="1186"/>
      <c r="Z894" s="1186"/>
      <c r="AA894" s="1186">
        <v>13.8</v>
      </c>
      <c r="AB894" s="1186">
        <v>6.4</v>
      </c>
      <c r="AC894" s="1186">
        <v>11.9</v>
      </c>
      <c r="AD894" s="1187">
        <v>3.5</v>
      </c>
    </row>
    <row r="895" spans="1:30" x14ac:dyDescent="0.2">
      <c r="A895">
        <f t="shared" si="47"/>
        <v>23</v>
      </c>
      <c r="B895">
        <v>886</v>
      </c>
      <c r="C895" s="1078">
        <v>2</v>
      </c>
      <c r="D895" s="1077" t="s">
        <v>5276</v>
      </c>
      <c r="E895" s="1077" t="s">
        <v>5163</v>
      </c>
      <c r="F895" s="1185">
        <v>4</v>
      </c>
      <c r="G895" s="1186">
        <v>7.31</v>
      </c>
      <c r="H895" s="1186">
        <v>2.64</v>
      </c>
      <c r="I895" s="1186">
        <v>8.9600000000000009</v>
      </c>
      <c r="J895" s="1186">
        <v>3.26</v>
      </c>
      <c r="K895" s="1186">
        <v>11.49</v>
      </c>
      <c r="L895" s="1186">
        <v>4.04</v>
      </c>
      <c r="M895" s="1186">
        <v>13.53</v>
      </c>
      <c r="N895" s="1186">
        <v>4.7300000000000004</v>
      </c>
      <c r="O895" s="1186">
        <v>17.39</v>
      </c>
      <c r="P895" s="1186">
        <v>7.02</v>
      </c>
      <c r="Q895" s="1186">
        <v>7.83</v>
      </c>
      <c r="R895" s="1186">
        <v>2.1800000000000002</v>
      </c>
      <c r="S895" s="1186">
        <v>12.02</v>
      </c>
      <c r="T895" s="1186">
        <v>3.04</v>
      </c>
      <c r="U895" s="1186">
        <v>15.05</v>
      </c>
      <c r="V895" s="1186">
        <v>4.0199999999999996</v>
      </c>
      <c r="W895" s="1186"/>
      <c r="X895" s="1186"/>
      <c r="Y895" s="1186"/>
      <c r="Z895" s="1186"/>
      <c r="AA895" s="1186"/>
      <c r="AB895" s="1186"/>
      <c r="AC895" s="1186"/>
      <c r="AD895" s="1187"/>
    </row>
    <row r="896" spans="1:30" x14ac:dyDescent="0.2">
      <c r="A896">
        <f t="shared" si="47"/>
        <v>23</v>
      </c>
      <c r="B896">
        <v>887</v>
      </c>
      <c r="C896" s="1078">
        <v>2</v>
      </c>
      <c r="D896" s="1077" t="s">
        <v>5276</v>
      </c>
      <c r="E896" s="1077" t="s">
        <v>4531</v>
      </c>
      <c r="F896" s="1185">
        <v>4</v>
      </c>
      <c r="G896" s="1186">
        <v>10.6</v>
      </c>
      <c r="H896" s="1186">
        <v>2.67</v>
      </c>
      <c r="I896" s="1186">
        <v>12.88</v>
      </c>
      <c r="J896" s="1186">
        <v>3.29</v>
      </c>
      <c r="K896" s="1186">
        <v>16.55</v>
      </c>
      <c r="L896" s="1186">
        <v>4.07</v>
      </c>
      <c r="M896" s="1186">
        <v>18.77</v>
      </c>
      <c r="N896" s="1186">
        <v>4.76</v>
      </c>
      <c r="O896" s="1186">
        <v>23.06</v>
      </c>
      <c r="P896" s="1186">
        <v>6.95</v>
      </c>
      <c r="Q896" s="1186">
        <v>8.84</v>
      </c>
      <c r="R896" s="1186">
        <v>2.21</v>
      </c>
      <c r="S896" s="1186">
        <v>17.059999999999999</v>
      </c>
      <c r="T896" s="1186">
        <v>3.07</v>
      </c>
      <c r="U896" s="1186">
        <v>19.77</v>
      </c>
      <c r="V896" s="1186">
        <v>4</v>
      </c>
      <c r="W896" s="1186"/>
      <c r="X896" s="1186"/>
      <c r="Y896" s="1186"/>
      <c r="Z896" s="1186"/>
      <c r="AA896" s="1186"/>
      <c r="AB896" s="1186"/>
      <c r="AC896" s="1186"/>
      <c r="AD896" s="1187"/>
    </row>
    <row r="897" spans="1:30" x14ac:dyDescent="0.2">
      <c r="A897">
        <f t="shared" si="47"/>
        <v>23</v>
      </c>
      <c r="B897">
        <v>888</v>
      </c>
      <c r="C897" s="1078">
        <v>2</v>
      </c>
      <c r="D897" s="1077" t="s">
        <v>5276</v>
      </c>
      <c r="E897" s="1077" t="s">
        <v>4532</v>
      </c>
      <c r="F897" s="1185">
        <v>4</v>
      </c>
      <c r="G897" s="1186">
        <v>14.12</v>
      </c>
      <c r="H897" s="1186">
        <v>2.63</v>
      </c>
      <c r="I897" s="1186">
        <v>16.72</v>
      </c>
      <c r="J897" s="1186">
        <v>3.25</v>
      </c>
      <c r="K897" s="1186">
        <v>20.93</v>
      </c>
      <c r="L897" s="1186">
        <v>4.03</v>
      </c>
      <c r="M897" s="1186">
        <v>25.95</v>
      </c>
      <c r="N897" s="1186">
        <v>4.72</v>
      </c>
      <c r="O897" s="1186">
        <v>31.49</v>
      </c>
      <c r="P897" s="1186">
        <v>6.8</v>
      </c>
      <c r="Q897" s="1186">
        <v>12.49</v>
      </c>
      <c r="R897" s="1186">
        <v>2.17</v>
      </c>
      <c r="S897" s="1186">
        <v>21.36</v>
      </c>
      <c r="T897" s="1186">
        <v>3.03</v>
      </c>
      <c r="U897" s="1186">
        <v>26.65</v>
      </c>
      <c r="V897" s="1186">
        <v>3.97</v>
      </c>
      <c r="W897" s="1186"/>
      <c r="X897" s="1186"/>
      <c r="Y897" s="1186"/>
      <c r="Z897" s="1186"/>
      <c r="AA897" s="1186"/>
      <c r="AB897" s="1186"/>
      <c r="AC897" s="1186"/>
      <c r="AD897" s="1187"/>
    </row>
    <row r="898" spans="1:30" x14ac:dyDescent="0.2">
      <c r="A898">
        <f t="shared" si="47"/>
        <v>23</v>
      </c>
      <c r="B898">
        <v>889</v>
      </c>
      <c r="C898" s="1078">
        <v>2</v>
      </c>
      <c r="D898" s="1077" t="s">
        <v>5276</v>
      </c>
      <c r="E898" s="1077" t="s">
        <v>4533</v>
      </c>
      <c r="F898" s="1185">
        <v>4</v>
      </c>
      <c r="G898" s="1186">
        <v>24.34</v>
      </c>
      <c r="H898" s="1186">
        <v>2.54</v>
      </c>
      <c r="I898" s="1186">
        <v>34</v>
      </c>
      <c r="J898" s="1186">
        <v>3.61</v>
      </c>
      <c r="K898" s="1186">
        <v>38.67</v>
      </c>
      <c r="L898" s="1186">
        <v>3.94</v>
      </c>
      <c r="M898" s="1186">
        <v>44.74</v>
      </c>
      <c r="N898" s="1186">
        <v>4.63</v>
      </c>
      <c r="O898" s="1186">
        <v>54.24</v>
      </c>
      <c r="P898" s="1186">
        <v>5.15</v>
      </c>
      <c r="Q898" s="1186">
        <v>26.71</v>
      </c>
      <c r="R898" s="1186">
        <v>2.08</v>
      </c>
      <c r="S898" s="1186">
        <v>36.83</v>
      </c>
      <c r="T898" s="1186">
        <v>2.94</v>
      </c>
      <c r="U898" s="1186">
        <v>45.95</v>
      </c>
      <c r="V898" s="1186">
        <v>3.88</v>
      </c>
      <c r="W898" s="1186"/>
      <c r="X898" s="1186"/>
      <c r="Y898" s="1186"/>
      <c r="Z898" s="1186"/>
      <c r="AA898" s="1186"/>
      <c r="AB898" s="1186"/>
      <c r="AC898" s="1186"/>
      <c r="AD898" s="1187"/>
    </row>
    <row r="899" spans="1:30" x14ac:dyDescent="0.2">
      <c r="A899">
        <f t="shared" si="47"/>
        <v>23</v>
      </c>
      <c r="B899">
        <v>890</v>
      </c>
      <c r="C899" s="1078">
        <v>2</v>
      </c>
      <c r="D899" s="1077" t="s">
        <v>5276</v>
      </c>
      <c r="E899" s="1077" t="s">
        <v>4534</v>
      </c>
      <c r="F899" s="1185">
        <v>4</v>
      </c>
      <c r="G899" s="1186">
        <v>28.24</v>
      </c>
      <c r="H899" s="1186">
        <v>2.63</v>
      </c>
      <c r="I899" s="1186">
        <v>39.44</v>
      </c>
      <c r="J899" s="1186">
        <v>3.25</v>
      </c>
      <c r="K899" s="1186">
        <v>44.86</v>
      </c>
      <c r="L899" s="1186">
        <v>4.03</v>
      </c>
      <c r="M899" s="1186">
        <v>51.9</v>
      </c>
      <c r="N899" s="1186">
        <v>4.72</v>
      </c>
      <c r="O899" s="1186">
        <v>62.98</v>
      </c>
      <c r="P899" s="1186">
        <v>6.8</v>
      </c>
      <c r="Q899" s="1186">
        <v>30.98</v>
      </c>
      <c r="R899" s="1186">
        <v>2.17</v>
      </c>
      <c r="S899" s="1186">
        <v>42.72</v>
      </c>
      <c r="T899" s="1186">
        <v>3.03</v>
      </c>
      <c r="U899" s="1186">
        <v>53.3</v>
      </c>
      <c r="V899" s="1186">
        <v>3.97</v>
      </c>
      <c r="W899" s="1186"/>
      <c r="X899" s="1186"/>
      <c r="Y899" s="1186"/>
      <c r="Z899" s="1186"/>
      <c r="AA899" s="1186"/>
      <c r="AB899" s="1186"/>
      <c r="AC899" s="1186"/>
      <c r="AD899" s="1187"/>
    </row>
    <row r="900" spans="1:30" x14ac:dyDescent="0.2">
      <c r="A900">
        <f t="shared" si="47"/>
        <v>23</v>
      </c>
      <c r="B900">
        <v>891</v>
      </c>
      <c r="C900" s="1078">
        <v>2</v>
      </c>
      <c r="D900" s="1077" t="s">
        <v>5276</v>
      </c>
      <c r="E900" s="1077" t="s">
        <v>4535</v>
      </c>
      <c r="F900" s="1185">
        <v>4</v>
      </c>
      <c r="G900" s="1186">
        <v>36.520000000000003</v>
      </c>
      <c r="H900" s="1186">
        <v>2.5099999999999998</v>
      </c>
      <c r="I900" s="1186">
        <v>51</v>
      </c>
      <c r="J900" s="1186">
        <v>3.13</v>
      </c>
      <c r="K900" s="1186">
        <v>58.01</v>
      </c>
      <c r="L900" s="1186">
        <v>3.91</v>
      </c>
      <c r="M900" s="1186">
        <v>67.11</v>
      </c>
      <c r="N900" s="1186">
        <v>4.5999999999999996</v>
      </c>
      <c r="O900" s="1186">
        <v>81.44</v>
      </c>
      <c r="P900" s="1186">
        <v>6.68</v>
      </c>
      <c r="Q900" s="1186">
        <v>40.06</v>
      </c>
      <c r="R900" s="1186">
        <v>2.0499999999999998</v>
      </c>
      <c r="S900" s="1186">
        <v>55.24</v>
      </c>
      <c r="T900" s="1186">
        <v>2.91</v>
      </c>
      <c r="U900" s="1186">
        <v>68.92</v>
      </c>
      <c r="V900" s="1186">
        <v>3.85</v>
      </c>
      <c r="W900" s="1186"/>
      <c r="X900" s="1186"/>
      <c r="Y900" s="1186"/>
      <c r="Z900" s="1186"/>
      <c r="AA900" s="1186"/>
      <c r="AB900" s="1186"/>
      <c r="AC900" s="1186"/>
      <c r="AD900" s="1187"/>
    </row>
    <row r="901" spans="1:30" x14ac:dyDescent="0.2">
      <c r="A901">
        <f t="shared" si="47"/>
        <v>23</v>
      </c>
      <c r="B901">
        <v>892</v>
      </c>
      <c r="C901" s="1078">
        <v>2</v>
      </c>
      <c r="D901" s="1077" t="s">
        <v>5276</v>
      </c>
      <c r="E901" s="1077" t="s">
        <v>4536</v>
      </c>
      <c r="F901" s="1185">
        <v>4</v>
      </c>
      <c r="G901" s="1186">
        <v>4.3099999999999996</v>
      </c>
      <c r="H901" s="1186">
        <v>2.5</v>
      </c>
      <c r="I901" s="1186">
        <v>4.8600000000000003</v>
      </c>
      <c r="J901" s="1186">
        <v>3.05</v>
      </c>
      <c r="K901" s="1186">
        <v>6.34</v>
      </c>
      <c r="L901" s="1186">
        <v>4.2699999999999996</v>
      </c>
      <c r="M901" s="1186">
        <v>6.87</v>
      </c>
      <c r="N901" s="1186">
        <v>5.05</v>
      </c>
      <c r="O901" s="1186">
        <v>11.52</v>
      </c>
      <c r="P901" s="1186">
        <v>7.03</v>
      </c>
      <c r="Q901" s="1186">
        <v>3.2</v>
      </c>
      <c r="R901" s="1186">
        <v>1.44</v>
      </c>
      <c r="S901" s="1186">
        <v>6.42</v>
      </c>
      <c r="T901" s="1186">
        <v>2.5</v>
      </c>
      <c r="U901" s="1186">
        <v>9.5500000000000007</v>
      </c>
      <c r="V901" s="1186">
        <v>3.88</v>
      </c>
      <c r="W901" s="1186"/>
      <c r="X901" s="1186"/>
      <c r="Y901" s="1186"/>
      <c r="Z901" s="1186"/>
      <c r="AA901" s="1186"/>
      <c r="AB901" s="1186"/>
      <c r="AC901" s="1186"/>
      <c r="AD901" s="1187"/>
    </row>
    <row r="902" spans="1:30" x14ac:dyDescent="0.2">
      <c r="A902">
        <f t="shared" si="47"/>
        <v>23</v>
      </c>
      <c r="B902">
        <v>893</v>
      </c>
      <c r="C902" s="1078">
        <v>2</v>
      </c>
      <c r="D902" s="1077" t="s">
        <v>5276</v>
      </c>
      <c r="E902" s="1077" t="s">
        <v>4537</v>
      </c>
      <c r="F902" s="1185">
        <v>4</v>
      </c>
      <c r="G902" s="1186">
        <v>4.84</v>
      </c>
      <c r="H902" s="1186">
        <v>2.46</v>
      </c>
      <c r="I902" s="1186">
        <v>5.04</v>
      </c>
      <c r="J902" s="1186">
        <v>3</v>
      </c>
      <c r="K902" s="1186">
        <v>6.84</v>
      </c>
      <c r="L902" s="1186">
        <v>4.0199999999999996</v>
      </c>
      <c r="M902" s="1186">
        <v>7.99</v>
      </c>
      <c r="N902" s="1186">
        <v>4.71</v>
      </c>
      <c r="O902" s="1186">
        <v>14.9</v>
      </c>
      <c r="P902" s="1186">
        <v>6.87</v>
      </c>
      <c r="Q902" s="1186">
        <v>3.6</v>
      </c>
      <c r="R902" s="1186">
        <v>1.41</v>
      </c>
      <c r="S902" s="1186">
        <v>6.95</v>
      </c>
      <c r="T902" s="1186">
        <v>2.5</v>
      </c>
      <c r="U902" s="1186">
        <v>10.37</v>
      </c>
      <c r="V902" s="1186">
        <v>3.76</v>
      </c>
      <c r="W902" s="1186"/>
      <c r="X902" s="1186"/>
      <c r="Y902" s="1186"/>
      <c r="Z902" s="1186"/>
      <c r="AA902" s="1186"/>
      <c r="AB902" s="1186"/>
      <c r="AC902" s="1186"/>
      <c r="AD902" s="1187"/>
    </row>
    <row r="903" spans="1:30" x14ac:dyDescent="0.2">
      <c r="A903">
        <f t="shared" si="47"/>
        <v>23</v>
      </c>
      <c r="B903">
        <v>894</v>
      </c>
      <c r="C903" s="1078">
        <v>2</v>
      </c>
      <c r="D903" s="1082" t="s">
        <v>5276</v>
      </c>
      <c r="E903" s="1082" t="s">
        <v>4538</v>
      </c>
      <c r="F903" s="1188">
        <v>4</v>
      </c>
      <c r="G903" s="1189">
        <v>12.07</v>
      </c>
      <c r="H903" s="1189">
        <v>2.5099999999999998</v>
      </c>
      <c r="I903" s="1189">
        <v>13.57</v>
      </c>
      <c r="J903" s="1189">
        <v>3.01</v>
      </c>
      <c r="K903" s="1189">
        <v>15.42</v>
      </c>
      <c r="L903" s="1189">
        <v>4.25</v>
      </c>
      <c r="M903" s="1189">
        <v>17.55</v>
      </c>
      <c r="N903" s="1189">
        <v>5.01</v>
      </c>
      <c r="O903" s="1189">
        <v>23.91</v>
      </c>
      <c r="P903" s="1189">
        <v>6.98</v>
      </c>
      <c r="Q903" s="1189">
        <v>8.36</v>
      </c>
      <c r="R903" s="1189">
        <v>1.77</v>
      </c>
      <c r="S903" s="1189">
        <v>11.7</v>
      </c>
      <c r="T903" s="1189">
        <v>2.75</v>
      </c>
      <c r="U903" s="1189">
        <v>15.46</v>
      </c>
      <c r="V903" s="1189">
        <v>3.96</v>
      </c>
      <c r="W903" s="1189"/>
      <c r="X903" s="1189"/>
      <c r="Y903" s="1189"/>
      <c r="Z903" s="1189"/>
      <c r="AA903" s="1189"/>
      <c r="AB903" s="1189"/>
      <c r="AC903" s="1189"/>
      <c r="AD903" s="1187"/>
    </row>
    <row r="904" spans="1:30" x14ac:dyDescent="0.2">
      <c r="A904">
        <f t="shared" si="47"/>
        <v>23</v>
      </c>
      <c r="B904">
        <v>895</v>
      </c>
      <c r="C904" s="1078">
        <v>3</v>
      </c>
      <c r="D904" s="1191" t="s">
        <v>5276</v>
      </c>
      <c r="E904" s="1191" t="s">
        <v>4539</v>
      </c>
      <c r="F904" s="1192">
        <v>4</v>
      </c>
      <c r="G904" s="1193"/>
      <c r="H904" s="1193"/>
      <c r="I904" s="1193"/>
      <c r="J904" s="1193"/>
      <c r="K904" s="1193"/>
      <c r="L904" s="1193"/>
      <c r="M904" s="1193"/>
      <c r="N904" s="1193"/>
      <c r="O904" s="1193"/>
      <c r="P904" s="1193"/>
      <c r="Q904" s="1193"/>
      <c r="R904" s="1193"/>
      <c r="S904" s="1193"/>
      <c r="T904" s="1193"/>
      <c r="U904" s="1193"/>
      <c r="V904" s="1193"/>
      <c r="W904" s="1193">
        <v>8.36</v>
      </c>
      <c r="X904" s="1193">
        <v>4.7</v>
      </c>
      <c r="Y904" s="1193">
        <v>6.51</v>
      </c>
      <c r="Z904" s="1193">
        <v>2.6</v>
      </c>
      <c r="AA904" s="1193"/>
      <c r="AB904" s="1193"/>
      <c r="AC904" s="1193"/>
      <c r="AD904" s="1187"/>
    </row>
    <row r="905" spans="1:30" x14ac:dyDescent="0.2">
      <c r="A905">
        <f t="shared" si="47"/>
        <v>23</v>
      </c>
      <c r="B905">
        <v>896</v>
      </c>
      <c r="C905" s="1078">
        <v>3</v>
      </c>
      <c r="D905" s="1077" t="s">
        <v>5276</v>
      </c>
      <c r="E905" s="1077" t="s">
        <v>4540</v>
      </c>
      <c r="F905" s="1185">
        <v>4</v>
      </c>
      <c r="G905" s="1186"/>
      <c r="H905" s="1186"/>
      <c r="I905" s="1186"/>
      <c r="J905" s="1186"/>
      <c r="K905" s="1186"/>
      <c r="L905" s="1186"/>
      <c r="M905" s="1186"/>
      <c r="N905" s="1186"/>
      <c r="O905" s="1186"/>
      <c r="P905" s="1186"/>
      <c r="Q905" s="1186"/>
      <c r="R905" s="1186"/>
      <c r="S905" s="1186"/>
      <c r="T905" s="1186"/>
      <c r="U905" s="1186"/>
      <c r="V905" s="1186"/>
      <c r="W905" s="1186">
        <v>7.96</v>
      </c>
      <c r="X905" s="1186">
        <v>4.5999999999999996</v>
      </c>
      <c r="Y905" s="1186">
        <v>7.02</v>
      </c>
      <c r="Z905" s="1186">
        <v>2.6</v>
      </c>
      <c r="AA905" s="1186"/>
      <c r="AB905" s="1186"/>
      <c r="AC905" s="1186"/>
      <c r="AD905" s="1187"/>
    </row>
    <row r="906" spans="1:30" x14ac:dyDescent="0.2">
      <c r="A906">
        <f t="shared" si="47"/>
        <v>23</v>
      </c>
      <c r="B906">
        <v>897</v>
      </c>
      <c r="C906" s="1078">
        <v>3</v>
      </c>
      <c r="D906" s="1077" t="s">
        <v>5276</v>
      </c>
      <c r="E906" s="1077" t="s">
        <v>4541</v>
      </c>
      <c r="F906" s="1185">
        <v>4</v>
      </c>
      <c r="G906" s="1186"/>
      <c r="H906" s="1186"/>
      <c r="I906" s="1186"/>
      <c r="J906" s="1186"/>
      <c r="K906" s="1186"/>
      <c r="L906" s="1186"/>
      <c r="M906" s="1186"/>
      <c r="N906" s="1186"/>
      <c r="O906" s="1186"/>
      <c r="P906" s="1186"/>
      <c r="Q906" s="1186"/>
      <c r="R906" s="1186"/>
      <c r="S906" s="1186"/>
      <c r="T906" s="1186"/>
      <c r="U906" s="1186"/>
      <c r="V906" s="1186"/>
      <c r="W906" s="1186">
        <v>19.61</v>
      </c>
      <c r="X906" s="1186">
        <v>4.7</v>
      </c>
      <c r="Y906" s="1186">
        <v>15.27</v>
      </c>
      <c r="Z906" s="1186">
        <v>2.5</v>
      </c>
      <c r="AA906" s="1186"/>
      <c r="AB906" s="1186"/>
      <c r="AC906" s="1186"/>
      <c r="AD906" s="1187"/>
    </row>
    <row r="907" spans="1:30" x14ac:dyDescent="0.2">
      <c r="A907">
        <f t="shared" si="47"/>
        <v>23</v>
      </c>
      <c r="B907">
        <v>898</v>
      </c>
      <c r="C907" s="1078">
        <v>4</v>
      </c>
      <c r="D907" s="1077" t="s">
        <v>5276</v>
      </c>
      <c r="E907" s="1077" t="s">
        <v>4539</v>
      </c>
      <c r="F907" s="1185">
        <v>4</v>
      </c>
      <c r="G907" s="1186"/>
      <c r="H907" s="1186"/>
      <c r="I907" s="1186"/>
      <c r="J907" s="1186"/>
      <c r="K907" s="1186"/>
      <c r="L907" s="1186"/>
      <c r="M907" s="1186"/>
      <c r="N907" s="1186"/>
      <c r="O907" s="1186"/>
      <c r="P907" s="1186"/>
      <c r="Q907" s="1186"/>
      <c r="R907" s="1186"/>
      <c r="S907" s="1186"/>
      <c r="T907" s="1186"/>
      <c r="U907" s="1186"/>
      <c r="V907" s="1186"/>
      <c r="W907" s="1186"/>
      <c r="X907" s="1186"/>
      <c r="Y907" s="1186"/>
      <c r="Z907" s="1186"/>
      <c r="AA907" s="1186">
        <v>11.39</v>
      </c>
      <c r="AB907" s="1186">
        <v>6.41</v>
      </c>
      <c r="AC907" s="1186">
        <v>9.2100000000000009</v>
      </c>
      <c r="AD907" s="1187">
        <v>3.52</v>
      </c>
    </row>
    <row r="908" spans="1:30" x14ac:dyDescent="0.2">
      <c r="A908">
        <f t="shared" ref="A908:A971" si="48">A907+(D908&lt;&gt;D907)*1</f>
        <v>23</v>
      </c>
      <c r="B908">
        <v>899</v>
      </c>
      <c r="C908" s="1078">
        <v>4</v>
      </c>
      <c r="D908" s="1077" t="s">
        <v>5276</v>
      </c>
      <c r="E908" s="1077" t="s">
        <v>4540</v>
      </c>
      <c r="F908" s="1185">
        <v>4</v>
      </c>
      <c r="G908" s="1186"/>
      <c r="H908" s="1186"/>
      <c r="I908" s="1186"/>
      <c r="J908" s="1186"/>
      <c r="K908" s="1186"/>
      <c r="L908" s="1186"/>
      <c r="M908" s="1186"/>
      <c r="N908" s="1186"/>
      <c r="O908" s="1186"/>
      <c r="P908" s="1186"/>
      <c r="Q908" s="1186"/>
      <c r="R908" s="1186"/>
      <c r="S908" s="1186"/>
      <c r="T908" s="1186"/>
      <c r="U908" s="1186"/>
      <c r="V908" s="1186"/>
      <c r="W908" s="1186"/>
      <c r="X908" s="1186"/>
      <c r="Y908" s="1186"/>
      <c r="Z908" s="1186"/>
      <c r="AA908" s="1186">
        <v>10.65</v>
      </c>
      <c r="AB908" s="1186">
        <v>6.4</v>
      </c>
      <c r="AC908" s="1186">
        <v>9.5500000000000007</v>
      </c>
      <c r="AD908" s="1187">
        <v>3.53</v>
      </c>
    </row>
    <row r="909" spans="1:30" x14ac:dyDescent="0.2">
      <c r="A909">
        <f t="shared" si="48"/>
        <v>23</v>
      </c>
      <c r="B909">
        <v>900</v>
      </c>
      <c r="C909" s="1078">
        <v>4</v>
      </c>
      <c r="D909" s="1077" t="s">
        <v>5276</v>
      </c>
      <c r="E909" s="1077" t="s">
        <v>4541</v>
      </c>
      <c r="F909" s="1185">
        <v>4</v>
      </c>
      <c r="G909" s="1186"/>
      <c r="H909" s="1186"/>
      <c r="I909" s="1186"/>
      <c r="J909" s="1186"/>
      <c r="K909" s="1186"/>
      <c r="L909" s="1186"/>
      <c r="M909" s="1186"/>
      <c r="N909" s="1186"/>
      <c r="O909" s="1186"/>
      <c r="P909" s="1186"/>
      <c r="Q909" s="1186"/>
      <c r="R909" s="1186"/>
      <c r="S909" s="1186"/>
      <c r="T909" s="1186"/>
      <c r="U909" s="1186"/>
      <c r="V909" s="1186"/>
      <c r="W909" s="1186"/>
      <c r="X909" s="1186"/>
      <c r="Y909" s="1186"/>
      <c r="Z909" s="1186"/>
      <c r="AA909" s="1186">
        <v>26.23</v>
      </c>
      <c r="AB909" s="1186">
        <v>6.35</v>
      </c>
      <c r="AC909" s="1186">
        <v>21.46</v>
      </c>
      <c r="AD909" s="1187">
        <v>3.49</v>
      </c>
    </row>
    <row r="910" spans="1:30" x14ac:dyDescent="0.2">
      <c r="A910">
        <f t="shared" si="48"/>
        <v>24</v>
      </c>
      <c r="B910">
        <v>901</v>
      </c>
      <c r="C910" s="1078">
        <v>2</v>
      </c>
      <c r="D910" s="1077" t="s">
        <v>5102</v>
      </c>
      <c r="E910" s="1077" t="s">
        <v>5103</v>
      </c>
      <c r="F910" s="1185">
        <v>4</v>
      </c>
      <c r="G910" s="1186">
        <v>6.7</v>
      </c>
      <c r="H910" s="1186">
        <v>2.2000000000000002</v>
      </c>
      <c r="I910" s="1186">
        <v>8.3000000000000007</v>
      </c>
      <c r="J910" s="1186">
        <v>2.7</v>
      </c>
      <c r="K910" s="1186">
        <v>5.5</v>
      </c>
      <c r="L910" s="1186">
        <v>4</v>
      </c>
      <c r="M910" s="1186">
        <v>4.0999999999999996</v>
      </c>
      <c r="N910" s="1186">
        <v>5.4</v>
      </c>
      <c r="O910" s="1186">
        <v>2.7</v>
      </c>
      <c r="P910" s="1186">
        <v>6.7</v>
      </c>
      <c r="Q910" s="1186">
        <v>7</v>
      </c>
      <c r="R910" s="1186">
        <v>2</v>
      </c>
      <c r="S910" s="1186">
        <v>8</v>
      </c>
      <c r="T910" s="1186">
        <v>3</v>
      </c>
      <c r="U910" s="1186">
        <v>8.5</v>
      </c>
      <c r="V910" s="1186">
        <v>3.6</v>
      </c>
      <c r="W910" s="1186"/>
      <c r="X910" s="1186"/>
      <c r="Y910" s="1186"/>
      <c r="Z910" s="1186"/>
      <c r="AA910" s="1186"/>
      <c r="AB910" s="1186"/>
      <c r="AC910" s="1186"/>
      <c r="AD910" s="1187"/>
    </row>
    <row r="911" spans="1:30" x14ac:dyDescent="0.2">
      <c r="A911">
        <f t="shared" si="48"/>
        <v>24</v>
      </c>
      <c r="B911">
        <v>902</v>
      </c>
      <c r="C911" s="1078">
        <v>2</v>
      </c>
      <c r="D911" s="1077" t="s">
        <v>5102</v>
      </c>
      <c r="E911" s="1077" t="s">
        <v>5104</v>
      </c>
      <c r="F911" s="1185">
        <v>4</v>
      </c>
      <c r="G911" s="1186">
        <v>9</v>
      </c>
      <c r="H911" s="1186">
        <v>2.4</v>
      </c>
      <c r="I911" s="1186">
        <v>10.3</v>
      </c>
      <c r="J911" s="1186">
        <v>2.8</v>
      </c>
      <c r="K911" s="1186">
        <v>7.9</v>
      </c>
      <c r="L911" s="1186">
        <v>4.2</v>
      </c>
      <c r="M911" s="1186">
        <v>5.9</v>
      </c>
      <c r="N911" s="1186">
        <v>5.5</v>
      </c>
      <c r="O911" s="1186">
        <v>4</v>
      </c>
      <c r="P911" s="1186">
        <v>6.5</v>
      </c>
      <c r="Q911" s="1186">
        <v>9.9</v>
      </c>
      <c r="R911" s="1186">
        <v>2.1</v>
      </c>
      <c r="S911" s="1186">
        <v>10</v>
      </c>
      <c r="T911" s="1186">
        <v>3.2</v>
      </c>
      <c r="U911" s="1186">
        <v>10.199999999999999</v>
      </c>
      <c r="V911" s="1186">
        <v>3.8</v>
      </c>
      <c r="W911" s="1186"/>
      <c r="X911" s="1186"/>
      <c r="Y911" s="1186"/>
      <c r="Z911" s="1186"/>
      <c r="AA911" s="1186"/>
      <c r="AB911" s="1186"/>
      <c r="AC911" s="1186"/>
      <c r="AD911" s="1187"/>
    </row>
    <row r="912" spans="1:30" x14ac:dyDescent="0.2">
      <c r="A912">
        <f t="shared" si="48"/>
        <v>24</v>
      </c>
      <c r="B912">
        <v>903</v>
      </c>
      <c r="C912" s="1078">
        <v>2</v>
      </c>
      <c r="D912" s="1077" t="s">
        <v>5102</v>
      </c>
      <c r="E912" s="1077" t="s">
        <v>5105</v>
      </c>
      <c r="F912" s="1185">
        <v>4</v>
      </c>
      <c r="G912" s="1186">
        <v>10.8</v>
      </c>
      <c r="H912" s="1186">
        <v>2.2999999999999998</v>
      </c>
      <c r="I912" s="1186">
        <v>13.3</v>
      </c>
      <c r="J912" s="1186">
        <v>2.9</v>
      </c>
      <c r="K912" s="1186">
        <v>8.6999999999999993</v>
      </c>
      <c r="L912" s="1186">
        <v>4.7</v>
      </c>
      <c r="M912" s="1186">
        <v>9.8000000000000007</v>
      </c>
      <c r="N912" s="1186">
        <v>5.6</v>
      </c>
      <c r="O912" s="1186">
        <v>6.3</v>
      </c>
      <c r="P912" s="1186">
        <v>7.4</v>
      </c>
      <c r="Q912" s="1186">
        <v>11.6</v>
      </c>
      <c r="R912" s="1186">
        <v>2.1</v>
      </c>
      <c r="S912" s="1186">
        <v>11.5</v>
      </c>
      <c r="T912" s="1186">
        <v>3.3</v>
      </c>
      <c r="U912" s="1186">
        <v>12.5</v>
      </c>
      <c r="V912" s="1186">
        <v>3.9</v>
      </c>
      <c r="W912" s="1186"/>
      <c r="X912" s="1186"/>
      <c r="Y912" s="1186"/>
      <c r="Z912" s="1186"/>
      <c r="AA912" s="1186"/>
      <c r="AB912" s="1186"/>
      <c r="AC912" s="1186"/>
      <c r="AD912" s="1187"/>
    </row>
    <row r="913" spans="1:30" x14ac:dyDescent="0.2">
      <c r="A913">
        <f t="shared" si="48"/>
        <v>24</v>
      </c>
      <c r="B913">
        <v>904</v>
      </c>
      <c r="C913" s="1078">
        <v>2</v>
      </c>
      <c r="D913" s="1077" t="s">
        <v>5102</v>
      </c>
      <c r="E913" s="1077" t="s">
        <v>5106</v>
      </c>
      <c r="F913" s="1185">
        <v>4</v>
      </c>
      <c r="G913" s="1186">
        <v>6.7</v>
      </c>
      <c r="H913" s="1186">
        <v>2.2000000000000002</v>
      </c>
      <c r="I913" s="1186">
        <v>8.3000000000000007</v>
      </c>
      <c r="J913" s="1186">
        <v>2.7</v>
      </c>
      <c r="K913" s="1186">
        <v>5.5</v>
      </c>
      <c r="L913" s="1186">
        <v>4</v>
      </c>
      <c r="M913" s="1186">
        <v>4.0999999999999996</v>
      </c>
      <c r="N913" s="1186">
        <v>5.4</v>
      </c>
      <c r="O913" s="1186">
        <v>2.7</v>
      </c>
      <c r="P913" s="1186">
        <v>6.7</v>
      </c>
      <c r="Q913" s="1186">
        <v>7</v>
      </c>
      <c r="R913" s="1186">
        <v>2</v>
      </c>
      <c r="S913" s="1186">
        <v>8</v>
      </c>
      <c r="T913" s="1186">
        <v>3</v>
      </c>
      <c r="U913" s="1186">
        <v>8.5</v>
      </c>
      <c r="V913" s="1186">
        <v>3.6</v>
      </c>
      <c r="W913" s="1186"/>
      <c r="X913" s="1186"/>
      <c r="Y913" s="1186"/>
      <c r="Z913" s="1186"/>
      <c r="AA913" s="1186"/>
      <c r="AB913" s="1186"/>
      <c r="AC913" s="1186"/>
      <c r="AD913" s="1187"/>
    </row>
    <row r="914" spans="1:30" x14ac:dyDescent="0.2">
      <c r="A914">
        <f t="shared" si="48"/>
        <v>24</v>
      </c>
      <c r="B914">
        <v>905</v>
      </c>
      <c r="C914" s="1078">
        <v>2</v>
      </c>
      <c r="D914" s="1077" t="s">
        <v>5102</v>
      </c>
      <c r="E914" s="1077" t="s">
        <v>5107</v>
      </c>
      <c r="F914" s="1185">
        <v>4</v>
      </c>
      <c r="G914" s="1186">
        <v>9</v>
      </c>
      <c r="H914" s="1186">
        <v>2.4</v>
      </c>
      <c r="I914" s="1186">
        <v>10.3</v>
      </c>
      <c r="J914" s="1186">
        <v>2.8</v>
      </c>
      <c r="K914" s="1186">
        <v>7.9</v>
      </c>
      <c r="L914" s="1186">
        <v>4.2</v>
      </c>
      <c r="M914" s="1186">
        <v>5.9</v>
      </c>
      <c r="N914" s="1186">
        <v>5.5</v>
      </c>
      <c r="O914" s="1186">
        <v>4</v>
      </c>
      <c r="P914" s="1186">
        <v>6.5</v>
      </c>
      <c r="Q914" s="1186">
        <v>9.9</v>
      </c>
      <c r="R914" s="1186">
        <v>2.1</v>
      </c>
      <c r="S914" s="1186">
        <v>10</v>
      </c>
      <c r="T914" s="1186">
        <v>3.2</v>
      </c>
      <c r="U914" s="1186">
        <v>10.199999999999999</v>
      </c>
      <c r="V914" s="1186">
        <v>3.8</v>
      </c>
      <c r="W914" s="1186"/>
      <c r="X914" s="1186"/>
      <c r="Y914" s="1186"/>
      <c r="Z914" s="1186"/>
      <c r="AA914" s="1186"/>
      <c r="AB914" s="1186"/>
      <c r="AC914" s="1186"/>
      <c r="AD914" s="1187"/>
    </row>
    <row r="915" spans="1:30" x14ac:dyDescent="0.2">
      <c r="A915">
        <f t="shared" si="48"/>
        <v>24</v>
      </c>
      <c r="B915">
        <v>906</v>
      </c>
      <c r="C915" s="1078">
        <v>2</v>
      </c>
      <c r="D915" s="1077" t="s">
        <v>5102</v>
      </c>
      <c r="E915" s="1077" t="s">
        <v>5108</v>
      </c>
      <c r="F915" s="1185">
        <v>4</v>
      </c>
      <c r="G915" s="1186">
        <v>18.100000000000001</v>
      </c>
      <c r="H915" s="1186">
        <v>2</v>
      </c>
      <c r="I915" s="1186">
        <v>22.1</v>
      </c>
      <c r="J915" s="1186">
        <v>2.9</v>
      </c>
      <c r="K915" s="1186">
        <v>16.5</v>
      </c>
      <c r="L915" s="1186">
        <v>4.4000000000000004</v>
      </c>
      <c r="M915" s="1186">
        <v>16.7</v>
      </c>
      <c r="N915" s="1186">
        <v>5.7</v>
      </c>
      <c r="O915" s="1186">
        <v>10</v>
      </c>
      <c r="P915" s="1186">
        <v>7.7</v>
      </c>
      <c r="Q915" s="1186">
        <v>20.2</v>
      </c>
      <c r="R915" s="1186">
        <v>2.2000000000000002</v>
      </c>
      <c r="S915" s="1186">
        <v>20</v>
      </c>
      <c r="T915" s="1186">
        <v>3.1</v>
      </c>
      <c r="U915" s="1186">
        <v>20</v>
      </c>
      <c r="V915" s="1186">
        <v>4</v>
      </c>
      <c r="W915" s="1186"/>
      <c r="X915" s="1186"/>
      <c r="Y915" s="1186"/>
      <c r="Z915" s="1186"/>
      <c r="AA915" s="1186"/>
      <c r="AB915" s="1186"/>
      <c r="AC915" s="1186"/>
      <c r="AD915" s="1187"/>
    </row>
    <row r="916" spans="1:30" x14ac:dyDescent="0.2">
      <c r="A916">
        <f t="shared" si="48"/>
        <v>24</v>
      </c>
      <c r="B916">
        <v>907</v>
      </c>
      <c r="C916" s="1078">
        <v>2</v>
      </c>
      <c r="D916" s="1077" t="s">
        <v>5102</v>
      </c>
      <c r="E916" s="1207" t="s">
        <v>5656</v>
      </c>
      <c r="F916" s="1185">
        <v>4</v>
      </c>
      <c r="G916" s="1186">
        <v>23.324000000000002</v>
      </c>
      <c r="H916" s="1186">
        <v>3.02</v>
      </c>
      <c r="I916" s="1186">
        <v>27.664999999999999</v>
      </c>
      <c r="J916" s="1186">
        <v>3.6</v>
      </c>
      <c r="K916" s="1186">
        <v>16.375</v>
      </c>
      <c r="L916" s="1186">
        <v>4.8680000000000003</v>
      </c>
      <c r="M916" s="1186">
        <v>23.18</v>
      </c>
      <c r="N916" s="1186">
        <v>5.7220000000000004</v>
      </c>
      <c r="O916" s="1186">
        <v>12.723000000000001</v>
      </c>
      <c r="P916" s="1186">
        <v>6.3310000000000004</v>
      </c>
      <c r="Q916" s="1186">
        <v>27.292999999999999</v>
      </c>
      <c r="R916" s="1186">
        <v>2.577</v>
      </c>
      <c r="S916" s="1186">
        <v>20.977</v>
      </c>
      <c r="T916" s="1186">
        <v>3.5619999999999998</v>
      </c>
      <c r="U916" s="1186">
        <v>13.1</v>
      </c>
      <c r="V916" s="1186">
        <v>4.3</v>
      </c>
      <c r="W916" s="1186"/>
      <c r="X916" s="1186"/>
      <c r="Y916" s="1186"/>
      <c r="Z916" s="1186"/>
      <c r="AA916" s="1186"/>
      <c r="AB916" s="1186"/>
      <c r="AC916" s="1186"/>
      <c r="AD916" s="1187"/>
    </row>
    <row r="917" spans="1:30" x14ac:dyDescent="0.2">
      <c r="A917">
        <f t="shared" si="48"/>
        <v>24</v>
      </c>
      <c r="B917">
        <v>908</v>
      </c>
      <c r="C917" s="1078">
        <v>2</v>
      </c>
      <c r="D917" s="1077" t="s">
        <v>5102</v>
      </c>
      <c r="E917" s="1207" t="s">
        <v>5657</v>
      </c>
      <c r="F917" s="1185">
        <v>4</v>
      </c>
      <c r="G917" s="1186">
        <v>32.969000000000001</v>
      </c>
      <c r="H917" s="1186">
        <v>2.7330000000000001</v>
      </c>
      <c r="I917" s="1186">
        <v>37.122</v>
      </c>
      <c r="J917" s="1186">
        <v>3.2370000000000001</v>
      </c>
      <c r="K917" s="1186">
        <v>23.757999999999999</v>
      </c>
      <c r="L917" s="1186">
        <v>5.4619999999999997</v>
      </c>
      <c r="M917" s="1186">
        <v>32.124000000000002</v>
      </c>
      <c r="N917" s="1186">
        <v>5.3440000000000003</v>
      </c>
      <c r="O917" s="1186">
        <v>12.688000000000001</v>
      </c>
      <c r="P917" s="1186">
        <v>6.3639999999999999</v>
      </c>
      <c r="Q917" s="1186">
        <v>33.353999999999999</v>
      </c>
      <c r="R917" s="1186">
        <v>2.4750000000000001</v>
      </c>
      <c r="S917" s="1186">
        <v>30.657</v>
      </c>
      <c r="T917" s="1186">
        <v>3.508</v>
      </c>
      <c r="U917" s="1186">
        <v>13.1</v>
      </c>
      <c r="V917" s="1186">
        <v>4.3</v>
      </c>
      <c r="W917" s="1186"/>
      <c r="X917" s="1186"/>
      <c r="Y917" s="1186"/>
      <c r="Z917" s="1186"/>
      <c r="AA917" s="1186"/>
      <c r="AB917" s="1186"/>
      <c r="AC917" s="1186"/>
      <c r="AD917" s="1187"/>
    </row>
    <row r="918" spans="1:30" x14ac:dyDescent="0.2">
      <c r="A918">
        <f t="shared" si="48"/>
        <v>24</v>
      </c>
      <c r="B918">
        <v>909</v>
      </c>
      <c r="C918" s="1078">
        <v>2</v>
      </c>
      <c r="D918" s="1077" t="s">
        <v>5102</v>
      </c>
      <c r="E918" s="1077" t="s">
        <v>4642</v>
      </c>
      <c r="F918" s="1185">
        <v>4</v>
      </c>
      <c r="G918" s="1186">
        <v>4.7</v>
      </c>
      <c r="H918" s="1186">
        <v>0</v>
      </c>
      <c r="I918" s="1186">
        <v>6</v>
      </c>
      <c r="J918" s="1186">
        <v>3.2</v>
      </c>
      <c r="K918" s="1186">
        <v>5</v>
      </c>
      <c r="L918" s="1186">
        <v>4</v>
      </c>
      <c r="M918" s="1186">
        <v>4.5</v>
      </c>
      <c r="N918" s="1186">
        <v>5.2</v>
      </c>
      <c r="O918" s="1186">
        <v>5.4</v>
      </c>
      <c r="P918" s="1186">
        <v>6.5</v>
      </c>
      <c r="Q918" s="1186">
        <v>5.0999999999999996</v>
      </c>
      <c r="R918" s="1186">
        <v>2</v>
      </c>
      <c r="S918" s="1186">
        <v>5</v>
      </c>
      <c r="T918" s="1186">
        <v>3</v>
      </c>
      <c r="U918" s="1186">
        <v>4.7</v>
      </c>
      <c r="V918" s="1186">
        <v>3.7</v>
      </c>
      <c r="W918" s="1186"/>
      <c r="X918" s="1186"/>
      <c r="Y918" s="1186"/>
      <c r="Z918" s="1186"/>
      <c r="AA918" s="1186"/>
      <c r="AB918" s="1186"/>
      <c r="AC918" s="1186"/>
      <c r="AD918" s="1187"/>
    </row>
    <row r="919" spans="1:30" x14ac:dyDescent="0.2">
      <c r="A919">
        <f t="shared" si="48"/>
        <v>24</v>
      </c>
      <c r="B919">
        <v>910</v>
      </c>
      <c r="C919" s="1078">
        <v>2</v>
      </c>
      <c r="D919" s="1077" t="s">
        <v>5102</v>
      </c>
      <c r="E919" s="1077" t="s">
        <v>4643</v>
      </c>
      <c r="F919" s="1185">
        <v>4</v>
      </c>
      <c r="G919" s="1186">
        <v>8.1</v>
      </c>
      <c r="H919" s="1186">
        <v>2.2000000000000002</v>
      </c>
      <c r="I919" s="1186">
        <v>10</v>
      </c>
      <c r="J919" s="1186">
        <v>2.7</v>
      </c>
      <c r="K919" s="1186">
        <v>6.5</v>
      </c>
      <c r="L919" s="1186">
        <v>3.5</v>
      </c>
      <c r="M919" s="1186">
        <v>6.8</v>
      </c>
      <c r="N919" s="1186">
        <v>5.0999999999999996</v>
      </c>
      <c r="O919" s="1186">
        <v>8.9</v>
      </c>
      <c r="P919" s="1186">
        <v>6.3</v>
      </c>
      <c r="Q919" s="1186">
        <v>8</v>
      </c>
      <c r="R919" s="1186">
        <v>2.2000000000000002</v>
      </c>
      <c r="S919" s="1186">
        <v>6.1</v>
      </c>
      <c r="T919" s="1186">
        <v>3.1</v>
      </c>
      <c r="U919" s="1186">
        <v>8</v>
      </c>
      <c r="V919" s="1186">
        <v>4.3</v>
      </c>
      <c r="W919" s="1186"/>
      <c r="X919" s="1186"/>
      <c r="Y919" s="1186"/>
      <c r="Z919" s="1186"/>
      <c r="AA919" s="1186"/>
      <c r="AB919" s="1186"/>
      <c r="AC919" s="1186"/>
      <c r="AD919" s="1187"/>
    </row>
    <row r="920" spans="1:30" x14ac:dyDescent="0.2">
      <c r="A920">
        <f t="shared" si="48"/>
        <v>24</v>
      </c>
      <c r="B920">
        <v>911</v>
      </c>
      <c r="C920" s="1078">
        <v>2</v>
      </c>
      <c r="D920" s="1077" t="s">
        <v>5102</v>
      </c>
      <c r="E920" s="1077" t="s">
        <v>4644</v>
      </c>
      <c r="F920" s="1185">
        <v>4</v>
      </c>
      <c r="G920" s="1186">
        <v>12</v>
      </c>
      <c r="H920" s="1186">
        <v>2.2999999999999998</v>
      </c>
      <c r="I920" s="1186">
        <v>14.8</v>
      </c>
      <c r="J920" s="1186">
        <v>2.8</v>
      </c>
      <c r="K920" s="1186">
        <v>11.3</v>
      </c>
      <c r="L920" s="1186">
        <v>4.5</v>
      </c>
      <c r="M920" s="1186">
        <v>12.8</v>
      </c>
      <c r="N920" s="1186">
        <v>5.0999999999999996</v>
      </c>
      <c r="O920" s="1186">
        <v>15.1</v>
      </c>
      <c r="P920" s="1186">
        <v>5.9</v>
      </c>
      <c r="Q920" s="1186">
        <v>10</v>
      </c>
      <c r="R920" s="1186">
        <v>2</v>
      </c>
      <c r="S920" s="1186">
        <v>11.4</v>
      </c>
      <c r="T920" s="1186">
        <v>3.2</v>
      </c>
      <c r="U920" s="1186">
        <v>13.7</v>
      </c>
      <c r="V920" s="1186">
        <v>3.9</v>
      </c>
      <c r="W920" s="1186"/>
      <c r="X920" s="1186"/>
      <c r="Y920" s="1186"/>
      <c r="Z920" s="1186"/>
      <c r="AA920" s="1186"/>
      <c r="AB920" s="1186"/>
      <c r="AC920" s="1186"/>
      <c r="AD920" s="1187"/>
    </row>
    <row r="921" spans="1:30" x14ac:dyDescent="0.2">
      <c r="A921">
        <f t="shared" si="48"/>
        <v>24</v>
      </c>
      <c r="B921">
        <v>912</v>
      </c>
      <c r="C921" s="1078">
        <v>2</v>
      </c>
      <c r="D921" s="1077" t="s">
        <v>5102</v>
      </c>
      <c r="E921" s="1077" t="s">
        <v>4645</v>
      </c>
      <c r="F921" s="1185">
        <v>4</v>
      </c>
      <c r="G921" s="1186">
        <v>4.7</v>
      </c>
      <c r="H921" s="1186">
        <v>2.7</v>
      </c>
      <c r="I921" s="1186">
        <v>6</v>
      </c>
      <c r="J921" s="1186">
        <v>3.2</v>
      </c>
      <c r="K921" s="1186">
        <v>5</v>
      </c>
      <c r="L921" s="1186">
        <v>4</v>
      </c>
      <c r="M921" s="1186">
        <v>4.5</v>
      </c>
      <c r="N921" s="1186">
        <v>5.2</v>
      </c>
      <c r="O921" s="1186">
        <v>5.4</v>
      </c>
      <c r="P921" s="1186">
        <v>6.5</v>
      </c>
      <c r="Q921" s="1186">
        <v>5.0999999999999996</v>
      </c>
      <c r="R921" s="1186">
        <v>2</v>
      </c>
      <c r="S921" s="1186">
        <v>5</v>
      </c>
      <c r="T921" s="1186">
        <v>3</v>
      </c>
      <c r="U921" s="1186">
        <v>4.7</v>
      </c>
      <c r="V921" s="1186">
        <v>3.7</v>
      </c>
      <c r="W921" s="1186"/>
      <c r="X921" s="1186"/>
      <c r="Y921" s="1186"/>
      <c r="Z921" s="1186"/>
      <c r="AA921" s="1186"/>
      <c r="AB921" s="1186"/>
      <c r="AC921" s="1186"/>
      <c r="AD921" s="1187"/>
    </row>
    <row r="922" spans="1:30" x14ac:dyDescent="0.2">
      <c r="A922">
        <f t="shared" si="48"/>
        <v>24</v>
      </c>
      <c r="B922">
        <v>913</v>
      </c>
      <c r="C922" s="1078">
        <v>2</v>
      </c>
      <c r="D922" s="1077" t="s">
        <v>5102</v>
      </c>
      <c r="E922" s="1077" t="s">
        <v>4646</v>
      </c>
      <c r="F922" s="1185">
        <v>4</v>
      </c>
      <c r="G922" s="1186">
        <v>8.1</v>
      </c>
      <c r="H922" s="1186">
        <v>2.2000000000000002</v>
      </c>
      <c r="I922" s="1186">
        <v>10</v>
      </c>
      <c r="J922" s="1186">
        <v>2.7</v>
      </c>
      <c r="K922" s="1186">
        <v>6.5</v>
      </c>
      <c r="L922" s="1186">
        <v>3.5</v>
      </c>
      <c r="M922" s="1186">
        <v>6.8</v>
      </c>
      <c r="N922" s="1186">
        <v>5.0999999999999996</v>
      </c>
      <c r="O922" s="1186">
        <v>8.9</v>
      </c>
      <c r="P922" s="1186">
        <v>6.3</v>
      </c>
      <c r="Q922" s="1186">
        <v>8</v>
      </c>
      <c r="R922" s="1186">
        <v>2.2000000000000002</v>
      </c>
      <c r="S922" s="1186">
        <v>6.1</v>
      </c>
      <c r="T922" s="1186">
        <v>3.1</v>
      </c>
      <c r="U922" s="1186">
        <v>8</v>
      </c>
      <c r="V922" s="1186">
        <v>4.3</v>
      </c>
      <c r="W922" s="1186"/>
      <c r="X922" s="1186"/>
      <c r="Y922" s="1186"/>
      <c r="Z922" s="1186"/>
      <c r="AA922" s="1186"/>
      <c r="AB922" s="1186"/>
      <c r="AC922" s="1186"/>
      <c r="AD922" s="1187"/>
    </row>
    <row r="923" spans="1:30" x14ac:dyDescent="0.2">
      <c r="A923">
        <f t="shared" si="48"/>
        <v>24</v>
      </c>
      <c r="B923">
        <v>914</v>
      </c>
      <c r="C923" s="1078">
        <v>2</v>
      </c>
      <c r="D923" s="1077" t="s">
        <v>5102</v>
      </c>
      <c r="E923" s="1077" t="s">
        <v>4647</v>
      </c>
      <c r="F923" s="1185">
        <v>4</v>
      </c>
      <c r="G923" s="1186">
        <v>4.78</v>
      </c>
      <c r="H923" s="1186">
        <v>2.6</v>
      </c>
      <c r="I923" s="1186">
        <v>6.19</v>
      </c>
      <c r="J923" s="1186">
        <v>3.08</v>
      </c>
      <c r="K923" s="1186">
        <v>4.3</v>
      </c>
      <c r="L923" s="1186">
        <v>4.0999999999999996</v>
      </c>
      <c r="M923" s="1186">
        <v>4.51</v>
      </c>
      <c r="N923" s="1186">
        <v>5.0599999999999996</v>
      </c>
      <c r="O923" s="1186">
        <v>5.26</v>
      </c>
      <c r="P923" s="1186">
        <v>5.98</v>
      </c>
      <c r="Q923" s="1186">
        <v>5.91</v>
      </c>
      <c r="R923" s="1186">
        <v>2.23</v>
      </c>
      <c r="S923" s="1186">
        <v>3.96</v>
      </c>
      <c r="T923" s="1186">
        <v>3.05</v>
      </c>
      <c r="U923" s="1186">
        <v>4.66</v>
      </c>
      <c r="V923" s="1186">
        <v>3.5</v>
      </c>
      <c r="W923" s="1186"/>
      <c r="X923" s="1186"/>
      <c r="Y923" s="1186"/>
      <c r="Z923" s="1186"/>
      <c r="AA923" s="1186"/>
      <c r="AB923" s="1186"/>
      <c r="AC923" s="1186"/>
      <c r="AD923" s="1187"/>
    </row>
    <row r="924" spans="1:30" x14ac:dyDescent="0.2">
      <c r="A924">
        <f t="shared" si="48"/>
        <v>24</v>
      </c>
      <c r="B924">
        <v>915</v>
      </c>
      <c r="C924" s="1078">
        <v>2</v>
      </c>
      <c r="D924" s="1077" t="s">
        <v>5102</v>
      </c>
      <c r="E924" s="1077" t="s">
        <v>4648</v>
      </c>
      <c r="F924" s="1185">
        <v>4</v>
      </c>
      <c r="G924" s="1186">
        <v>8.9</v>
      </c>
      <c r="H924" s="1186">
        <v>2.1</v>
      </c>
      <c r="I924" s="1186">
        <v>10.9</v>
      </c>
      <c r="J924" s="1186">
        <v>2.6</v>
      </c>
      <c r="K924" s="1186">
        <v>7.1</v>
      </c>
      <c r="L924" s="1186">
        <v>4.0999999999999996</v>
      </c>
      <c r="M924" s="1186">
        <v>8.3000000000000007</v>
      </c>
      <c r="N924" s="1186">
        <v>4.8</v>
      </c>
      <c r="O924" s="1186">
        <v>9.9</v>
      </c>
      <c r="P924" s="1186">
        <v>5.9</v>
      </c>
      <c r="Q924" s="1186">
        <v>4.7</v>
      </c>
      <c r="R924" s="1186">
        <v>2</v>
      </c>
      <c r="S924" s="1186">
        <v>7.2</v>
      </c>
      <c r="T924" s="1186">
        <v>2.9</v>
      </c>
      <c r="U924" s="1186">
        <v>8.8000000000000007</v>
      </c>
      <c r="V924" s="1186">
        <v>3.8</v>
      </c>
      <c r="W924" s="1186"/>
      <c r="X924" s="1186"/>
      <c r="Y924" s="1186"/>
      <c r="Z924" s="1186"/>
      <c r="AA924" s="1186"/>
      <c r="AB924" s="1186"/>
      <c r="AC924" s="1186"/>
      <c r="AD924" s="1187"/>
    </row>
    <row r="925" spans="1:30" x14ac:dyDescent="0.2">
      <c r="A925">
        <f t="shared" si="48"/>
        <v>24</v>
      </c>
      <c r="B925">
        <v>916</v>
      </c>
      <c r="C925" s="1078">
        <v>2</v>
      </c>
      <c r="D925" s="1077" t="s">
        <v>5102</v>
      </c>
      <c r="E925" s="1077" t="s">
        <v>4165</v>
      </c>
      <c r="F925" s="1185">
        <v>2</v>
      </c>
      <c r="G925" s="1186">
        <v>14.2</v>
      </c>
      <c r="H925" s="1186">
        <v>2.5</v>
      </c>
      <c r="I925" s="1186">
        <v>17.600000000000001</v>
      </c>
      <c r="J925" s="1186">
        <v>3.1</v>
      </c>
      <c r="K925" s="1186">
        <v>10.67</v>
      </c>
      <c r="L925" s="1186">
        <v>3.67</v>
      </c>
      <c r="M925" s="1186">
        <v>12.9</v>
      </c>
      <c r="N925" s="1186">
        <v>4.5599999999999996</v>
      </c>
      <c r="O925" s="1186">
        <v>17.91</v>
      </c>
      <c r="P925" s="1186">
        <v>6.42</v>
      </c>
      <c r="Q925" s="1186">
        <v>16</v>
      </c>
      <c r="R925" s="1186">
        <v>1.9</v>
      </c>
      <c r="S925" s="1186">
        <v>12.2</v>
      </c>
      <c r="T925" s="1186">
        <v>3.01</v>
      </c>
      <c r="U925" s="1186">
        <v>15</v>
      </c>
      <c r="V925" s="1186">
        <v>3.66</v>
      </c>
      <c r="W925" s="1186"/>
      <c r="X925" s="1186"/>
      <c r="Y925" s="1186"/>
      <c r="Z925" s="1186"/>
      <c r="AA925" s="1186"/>
      <c r="AB925" s="1186"/>
      <c r="AC925" s="1186"/>
      <c r="AD925" s="1187"/>
    </row>
    <row r="926" spans="1:30" x14ac:dyDescent="0.2">
      <c r="A926">
        <f t="shared" si="48"/>
        <v>24</v>
      </c>
      <c r="B926">
        <v>917</v>
      </c>
      <c r="C926" s="1078">
        <v>2</v>
      </c>
      <c r="D926" s="1077" t="s">
        <v>5102</v>
      </c>
      <c r="E926" s="1077" t="s">
        <v>4166</v>
      </c>
      <c r="F926" s="1185">
        <v>2</v>
      </c>
      <c r="G926" s="1186">
        <v>14.2</v>
      </c>
      <c r="H926" s="1186">
        <v>2.5</v>
      </c>
      <c r="I926" s="1186">
        <v>17.600000000000001</v>
      </c>
      <c r="J926" s="1186">
        <v>3.1</v>
      </c>
      <c r="K926" s="1186">
        <v>10.67</v>
      </c>
      <c r="L926" s="1186">
        <v>3.67</v>
      </c>
      <c r="M926" s="1186">
        <v>12.9</v>
      </c>
      <c r="N926" s="1186">
        <v>4.5599999999999996</v>
      </c>
      <c r="O926" s="1186">
        <v>17.91</v>
      </c>
      <c r="P926" s="1186">
        <v>6.42</v>
      </c>
      <c r="Q926" s="1186">
        <v>16</v>
      </c>
      <c r="R926" s="1186">
        <v>1.9</v>
      </c>
      <c r="S926" s="1186">
        <v>12.2</v>
      </c>
      <c r="T926" s="1186">
        <v>3.01</v>
      </c>
      <c r="U926" s="1186">
        <v>15</v>
      </c>
      <c r="V926" s="1186">
        <v>3.66</v>
      </c>
      <c r="W926" s="1186"/>
      <c r="X926" s="1186"/>
      <c r="Y926" s="1186"/>
      <c r="Z926" s="1186"/>
      <c r="AA926" s="1186"/>
      <c r="AB926" s="1186"/>
      <c r="AC926" s="1186"/>
      <c r="AD926" s="1187"/>
    </row>
    <row r="927" spans="1:30" x14ac:dyDescent="0.2">
      <c r="A927">
        <f t="shared" si="48"/>
        <v>24</v>
      </c>
      <c r="B927">
        <v>918</v>
      </c>
      <c r="C927" s="1078">
        <v>2</v>
      </c>
      <c r="D927" s="1077" t="s">
        <v>5102</v>
      </c>
      <c r="E927" s="1077" t="s">
        <v>4167</v>
      </c>
      <c r="F927" s="1185">
        <v>2</v>
      </c>
      <c r="G927" s="1186">
        <v>16.2</v>
      </c>
      <c r="H927" s="1186">
        <v>2.36</v>
      </c>
      <c r="I927" s="1186">
        <v>20.8</v>
      </c>
      <c r="J927" s="1186">
        <v>2.95</v>
      </c>
      <c r="K927" s="1186">
        <v>12.5</v>
      </c>
      <c r="L927" s="1186">
        <v>3.9</v>
      </c>
      <c r="M927" s="1186">
        <v>16</v>
      </c>
      <c r="N927" s="1186">
        <v>4.5999999999999996</v>
      </c>
      <c r="O927" s="1186">
        <v>19.7</v>
      </c>
      <c r="P927" s="1186">
        <v>5.5</v>
      </c>
      <c r="Q927" s="1186">
        <v>19.2</v>
      </c>
      <c r="R927" s="1186">
        <v>1.9</v>
      </c>
      <c r="S927" s="1186">
        <v>16.7</v>
      </c>
      <c r="T927" s="1186">
        <v>3</v>
      </c>
      <c r="U927" s="1186">
        <v>19.05</v>
      </c>
      <c r="V927" s="1186">
        <v>3.5</v>
      </c>
      <c r="W927" s="1186"/>
      <c r="X927" s="1186"/>
      <c r="Y927" s="1186"/>
      <c r="Z927" s="1186"/>
      <c r="AA927" s="1186"/>
      <c r="AB927" s="1186"/>
      <c r="AC927" s="1186"/>
      <c r="AD927" s="1187"/>
    </row>
    <row r="928" spans="1:30" x14ac:dyDescent="0.2">
      <c r="A928">
        <f t="shared" si="48"/>
        <v>24</v>
      </c>
      <c r="B928">
        <v>919</v>
      </c>
      <c r="C928" s="1078">
        <v>2</v>
      </c>
      <c r="D928" s="1077" t="s">
        <v>5102</v>
      </c>
      <c r="E928" s="1077" t="s">
        <v>4649</v>
      </c>
      <c r="F928" s="1185">
        <v>2</v>
      </c>
      <c r="G928" s="1186">
        <v>16.2</v>
      </c>
      <c r="H928" s="1186">
        <v>2.36</v>
      </c>
      <c r="I928" s="1186">
        <v>20.8</v>
      </c>
      <c r="J928" s="1186">
        <v>2.95</v>
      </c>
      <c r="K928" s="1186">
        <v>12.5</v>
      </c>
      <c r="L928" s="1186">
        <v>3.9</v>
      </c>
      <c r="M928" s="1186">
        <v>16</v>
      </c>
      <c r="N928" s="1186">
        <v>4.5999999999999996</v>
      </c>
      <c r="O928" s="1186">
        <v>19.7</v>
      </c>
      <c r="P928" s="1186">
        <v>5.5</v>
      </c>
      <c r="Q928" s="1186">
        <v>19.2</v>
      </c>
      <c r="R928" s="1186">
        <v>1.9</v>
      </c>
      <c r="S928" s="1186">
        <v>16.7</v>
      </c>
      <c r="T928" s="1186">
        <v>3</v>
      </c>
      <c r="U928" s="1186">
        <v>19.05</v>
      </c>
      <c r="V928" s="1186">
        <v>3.5</v>
      </c>
      <c r="W928" s="1186"/>
      <c r="X928" s="1186"/>
      <c r="Y928" s="1186"/>
      <c r="Z928" s="1186"/>
      <c r="AA928" s="1186"/>
      <c r="AB928" s="1186"/>
      <c r="AC928" s="1186"/>
      <c r="AD928" s="1187"/>
    </row>
    <row r="929" spans="1:30" x14ac:dyDescent="0.2">
      <c r="A929">
        <f t="shared" si="48"/>
        <v>24</v>
      </c>
      <c r="B929">
        <v>920</v>
      </c>
      <c r="C929" s="1078">
        <v>2</v>
      </c>
      <c r="D929" s="1077" t="s">
        <v>5102</v>
      </c>
      <c r="E929" s="1077" t="s">
        <v>4169</v>
      </c>
      <c r="F929" s="1185">
        <v>2</v>
      </c>
      <c r="G929" s="1186">
        <v>19.399999999999999</v>
      </c>
      <c r="H929" s="1186">
        <v>2.5</v>
      </c>
      <c r="I929" s="1186">
        <v>24.4</v>
      </c>
      <c r="J929" s="1186">
        <v>3.1</v>
      </c>
      <c r="K929" s="1186">
        <v>15.2</v>
      </c>
      <c r="L929" s="1186">
        <v>3.8</v>
      </c>
      <c r="M929" s="1186">
        <v>18.899999999999999</v>
      </c>
      <c r="N929" s="1186">
        <v>4.7</v>
      </c>
      <c r="O929" s="1186">
        <v>22.6</v>
      </c>
      <c r="P929" s="1186">
        <v>5.2</v>
      </c>
      <c r="Q929" s="1186">
        <v>21.9</v>
      </c>
      <c r="R929" s="1186">
        <v>1.9</v>
      </c>
      <c r="S929" s="1186">
        <v>18.899999999999999</v>
      </c>
      <c r="T929" s="1186">
        <v>3</v>
      </c>
      <c r="U929" s="1186">
        <v>21</v>
      </c>
      <c r="V929" s="1186">
        <v>3.3</v>
      </c>
      <c r="W929" s="1186"/>
      <c r="X929" s="1186"/>
      <c r="Y929" s="1186"/>
      <c r="Z929" s="1186"/>
      <c r="AA929" s="1186"/>
      <c r="AB929" s="1186"/>
      <c r="AC929" s="1186"/>
      <c r="AD929" s="1187"/>
    </row>
    <row r="930" spans="1:30" x14ac:dyDescent="0.2">
      <c r="A930">
        <f t="shared" si="48"/>
        <v>24</v>
      </c>
      <c r="B930">
        <v>921</v>
      </c>
      <c r="C930" s="1078">
        <v>2</v>
      </c>
      <c r="D930" s="1077" t="s">
        <v>5102</v>
      </c>
      <c r="E930" s="1077" t="s">
        <v>4650</v>
      </c>
      <c r="F930" s="1185">
        <v>2</v>
      </c>
      <c r="G930" s="1186">
        <v>19.399999999999999</v>
      </c>
      <c r="H930" s="1186">
        <v>2.5</v>
      </c>
      <c r="I930" s="1186">
        <v>24.4</v>
      </c>
      <c r="J930" s="1186">
        <v>3.1</v>
      </c>
      <c r="K930" s="1186">
        <v>15.2</v>
      </c>
      <c r="L930" s="1186">
        <v>3.8</v>
      </c>
      <c r="M930" s="1186">
        <v>18.899999999999999</v>
      </c>
      <c r="N930" s="1186">
        <v>4.7</v>
      </c>
      <c r="O930" s="1186">
        <v>22.6</v>
      </c>
      <c r="P930" s="1186">
        <v>5.2</v>
      </c>
      <c r="Q930" s="1186">
        <v>21.9</v>
      </c>
      <c r="R930" s="1186">
        <v>1.9</v>
      </c>
      <c r="S930" s="1186">
        <v>18.899999999999999</v>
      </c>
      <c r="T930" s="1186">
        <v>3</v>
      </c>
      <c r="U930" s="1186">
        <v>21</v>
      </c>
      <c r="V930" s="1186">
        <v>3.3</v>
      </c>
      <c r="W930" s="1186"/>
      <c r="X930" s="1186"/>
      <c r="Y930" s="1186"/>
      <c r="Z930" s="1186"/>
      <c r="AA930" s="1186"/>
      <c r="AB930" s="1186"/>
      <c r="AC930" s="1186"/>
      <c r="AD930" s="1187"/>
    </row>
    <row r="931" spans="1:30" x14ac:dyDescent="0.2">
      <c r="A931">
        <f t="shared" si="48"/>
        <v>24</v>
      </c>
      <c r="B931">
        <v>922</v>
      </c>
      <c r="C931" s="1078">
        <v>2</v>
      </c>
      <c r="D931" s="1077" t="s">
        <v>5102</v>
      </c>
      <c r="E931" s="1077" t="s">
        <v>4172</v>
      </c>
      <c r="F931" s="1185">
        <v>2</v>
      </c>
      <c r="G931" s="1186">
        <v>15.6</v>
      </c>
      <c r="H931" s="1186">
        <v>2.72</v>
      </c>
      <c r="I931" s="1186">
        <v>20.100000000000001</v>
      </c>
      <c r="J931" s="1186">
        <v>3.4</v>
      </c>
      <c r="K931" s="1186">
        <v>13.1</v>
      </c>
      <c r="L931" s="1186">
        <v>4.62</v>
      </c>
      <c r="M931" s="1186">
        <v>15.14</v>
      </c>
      <c r="N931" s="1186">
        <v>5.4</v>
      </c>
      <c r="O931" s="1186">
        <v>21.1</v>
      </c>
      <c r="P931" s="1186">
        <v>6.46</v>
      </c>
      <c r="Q931" s="1186">
        <v>18.8</v>
      </c>
      <c r="R931" s="1186">
        <v>2.4</v>
      </c>
      <c r="S931" s="1186">
        <v>14</v>
      </c>
      <c r="T931" s="1186">
        <v>3.79</v>
      </c>
      <c r="U931" s="1186">
        <v>18.7</v>
      </c>
      <c r="V931" s="1186">
        <v>4.22</v>
      </c>
      <c r="W931" s="1186"/>
      <c r="X931" s="1186"/>
      <c r="Y931" s="1186"/>
      <c r="Z931" s="1186"/>
      <c r="AA931" s="1186"/>
      <c r="AB931" s="1186"/>
      <c r="AC931" s="1186"/>
      <c r="AD931" s="1187"/>
    </row>
    <row r="932" spans="1:30" x14ac:dyDescent="0.2">
      <c r="A932">
        <f t="shared" si="48"/>
        <v>24</v>
      </c>
      <c r="B932">
        <v>923</v>
      </c>
      <c r="C932" s="1078">
        <v>2</v>
      </c>
      <c r="D932" s="1077" t="s">
        <v>5102</v>
      </c>
      <c r="E932" s="1077" t="s">
        <v>4168</v>
      </c>
      <c r="F932" s="1185">
        <v>2</v>
      </c>
      <c r="G932" s="1186">
        <v>15.6</v>
      </c>
      <c r="H932" s="1186">
        <v>2.72</v>
      </c>
      <c r="I932" s="1186">
        <v>20.100000000000001</v>
      </c>
      <c r="J932" s="1186">
        <v>3.4</v>
      </c>
      <c r="K932" s="1186">
        <v>13.1</v>
      </c>
      <c r="L932" s="1186">
        <v>4.5999999999999996</v>
      </c>
      <c r="M932" s="1186">
        <v>15.1</v>
      </c>
      <c r="N932" s="1186">
        <v>5.4</v>
      </c>
      <c r="O932" s="1186">
        <v>21.1</v>
      </c>
      <c r="P932" s="1186">
        <v>6.46</v>
      </c>
      <c r="Q932" s="1186">
        <v>18.8</v>
      </c>
      <c r="R932" s="1186">
        <v>2.4</v>
      </c>
      <c r="S932" s="1186">
        <v>14</v>
      </c>
      <c r="T932" s="1186">
        <v>3.79</v>
      </c>
      <c r="U932" s="1186">
        <v>18.7</v>
      </c>
      <c r="V932" s="1186">
        <v>4.22</v>
      </c>
      <c r="W932" s="1186"/>
      <c r="X932" s="1186"/>
      <c r="Y932" s="1186"/>
      <c r="Z932" s="1186"/>
      <c r="AA932" s="1186"/>
      <c r="AB932" s="1186"/>
      <c r="AC932" s="1186"/>
      <c r="AD932" s="1187"/>
    </row>
    <row r="933" spans="1:30" x14ac:dyDescent="0.2">
      <c r="A933">
        <f t="shared" si="48"/>
        <v>24</v>
      </c>
      <c r="B933">
        <v>924</v>
      </c>
      <c r="C933" s="1078">
        <v>2</v>
      </c>
      <c r="D933" s="1077" t="s">
        <v>5102</v>
      </c>
      <c r="E933" s="1077" t="s">
        <v>4170</v>
      </c>
      <c r="F933" s="1185">
        <v>2</v>
      </c>
      <c r="G933" s="1186">
        <v>21.7</v>
      </c>
      <c r="H933" s="1186">
        <v>2.71</v>
      </c>
      <c r="I933" s="1186">
        <v>26.9</v>
      </c>
      <c r="J933" s="1186">
        <v>3.35</v>
      </c>
      <c r="K933" s="1186">
        <v>18.600000000000001</v>
      </c>
      <c r="L933" s="1186">
        <v>4.5599999999999996</v>
      </c>
      <c r="M933" s="1186">
        <v>20.5</v>
      </c>
      <c r="N933" s="1186">
        <v>5.3</v>
      </c>
      <c r="O933" s="1186">
        <v>25.3</v>
      </c>
      <c r="P933" s="1186">
        <v>6.4</v>
      </c>
      <c r="Q933" s="1186">
        <v>24.8</v>
      </c>
      <c r="R933" s="1186">
        <v>2.4</v>
      </c>
      <c r="S933" s="1186">
        <v>19.2</v>
      </c>
      <c r="T933" s="1186">
        <v>3.7</v>
      </c>
      <c r="U933" s="1186">
        <v>23.1</v>
      </c>
      <c r="V933" s="1186">
        <v>4.29</v>
      </c>
      <c r="W933" s="1186"/>
      <c r="X933" s="1186"/>
      <c r="Y933" s="1186"/>
      <c r="Z933" s="1186"/>
      <c r="AA933" s="1186"/>
      <c r="AB933" s="1186"/>
      <c r="AC933" s="1186"/>
      <c r="AD933" s="1187"/>
    </row>
    <row r="934" spans="1:30" x14ac:dyDescent="0.2">
      <c r="A934">
        <f t="shared" si="48"/>
        <v>24</v>
      </c>
      <c r="B934">
        <v>925</v>
      </c>
      <c r="C934" s="1078">
        <v>2</v>
      </c>
      <c r="D934" s="1077" t="s">
        <v>5102</v>
      </c>
      <c r="E934" s="1077" t="s">
        <v>4171</v>
      </c>
      <c r="F934" s="1185">
        <v>2</v>
      </c>
      <c r="G934" s="1186">
        <v>21.7</v>
      </c>
      <c r="H934" s="1186">
        <v>2.71</v>
      </c>
      <c r="I934" s="1186">
        <v>26.9</v>
      </c>
      <c r="J934" s="1186">
        <v>3.35</v>
      </c>
      <c r="K934" s="1186">
        <v>18.600000000000001</v>
      </c>
      <c r="L934" s="1186">
        <v>4.5999999999999996</v>
      </c>
      <c r="M934" s="1186">
        <v>20.5</v>
      </c>
      <c r="N934" s="1186">
        <v>5.3</v>
      </c>
      <c r="O934" s="1186">
        <v>25.3</v>
      </c>
      <c r="P934" s="1186">
        <v>6.4</v>
      </c>
      <c r="Q934" s="1186">
        <v>24.8</v>
      </c>
      <c r="R934" s="1186">
        <v>2.4</v>
      </c>
      <c r="S934" s="1186">
        <v>19.2</v>
      </c>
      <c r="T934" s="1186">
        <v>3.7</v>
      </c>
      <c r="U934" s="1186">
        <v>23.1</v>
      </c>
      <c r="V934" s="1186">
        <v>4.29</v>
      </c>
      <c r="W934" s="1186"/>
      <c r="X934" s="1186"/>
      <c r="Y934" s="1186"/>
      <c r="Z934" s="1186"/>
      <c r="AA934" s="1186"/>
      <c r="AB934" s="1186"/>
      <c r="AC934" s="1186"/>
      <c r="AD934" s="1187"/>
    </row>
    <row r="935" spans="1:30" x14ac:dyDescent="0.2">
      <c r="A935">
        <f t="shared" si="48"/>
        <v>24</v>
      </c>
      <c r="B935">
        <v>926</v>
      </c>
      <c r="C935" s="1078">
        <v>2</v>
      </c>
      <c r="D935" s="1077" t="s">
        <v>5102</v>
      </c>
      <c r="E935" s="1077" t="s">
        <v>4651</v>
      </c>
      <c r="F935" s="1185">
        <v>2</v>
      </c>
      <c r="G935" s="1186">
        <v>38.6</v>
      </c>
      <c r="H935" s="1186">
        <v>2.5</v>
      </c>
      <c r="I935" s="1186">
        <v>45.5</v>
      </c>
      <c r="J935" s="1186">
        <v>3.1</v>
      </c>
      <c r="K935" s="1186">
        <v>50.3</v>
      </c>
      <c r="L935" s="1186">
        <v>3.6</v>
      </c>
      <c r="M935" s="1186">
        <v>34.6</v>
      </c>
      <c r="N935" s="1186">
        <v>4.4000000000000004</v>
      </c>
      <c r="O935" s="1186">
        <v>46.4</v>
      </c>
      <c r="P935" s="1186">
        <v>5.5</v>
      </c>
      <c r="Q935" s="1186">
        <v>44.5</v>
      </c>
      <c r="R935" s="1186">
        <v>2.2000000000000002</v>
      </c>
      <c r="S935" s="1186">
        <v>32.799999999999997</v>
      </c>
      <c r="T935" s="1186">
        <v>3</v>
      </c>
      <c r="U935" s="1186">
        <v>41.1</v>
      </c>
      <c r="V935" s="1186">
        <v>3.6</v>
      </c>
      <c r="W935" s="1186"/>
      <c r="X935" s="1186"/>
      <c r="Y935" s="1186"/>
      <c r="Z935" s="1186"/>
      <c r="AA935" s="1186"/>
      <c r="AB935" s="1186"/>
      <c r="AC935" s="1186"/>
      <c r="AD935" s="1187"/>
    </row>
    <row r="936" spans="1:30" x14ac:dyDescent="0.2">
      <c r="A936">
        <f t="shared" si="48"/>
        <v>24</v>
      </c>
      <c r="B936">
        <v>927</v>
      </c>
      <c r="C936" s="1078">
        <v>3</v>
      </c>
      <c r="D936" s="1077" t="s">
        <v>5102</v>
      </c>
      <c r="E936" s="1077" t="s">
        <v>4652</v>
      </c>
      <c r="F936" s="1185">
        <v>4</v>
      </c>
      <c r="G936" s="1186"/>
      <c r="H936" s="1186"/>
      <c r="I936" s="1186"/>
      <c r="J936" s="1186"/>
      <c r="K936" s="1186"/>
      <c r="L936" s="1186"/>
      <c r="M936" s="1186"/>
      <c r="N936" s="1186"/>
      <c r="O936" s="1186"/>
      <c r="P936" s="1186"/>
      <c r="Q936" s="1186"/>
      <c r="R936" s="1186"/>
      <c r="S936" s="1186"/>
      <c r="T936" s="1186"/>
      <c r="U936" s="1186"/>
      <c r="V936" s="1186"/>
      <c r="W936" s="1186">
        <v>7.85</v>
      </c>
      <c r="X936" s="1186">
        <v>4.71</v>
      </c>
      <c r="Y936" s="1186">
        <v>6.31</v>
      </c>
      <c r="Z936" s="1186">
        <v>2.89</v>
      </c>
      <c r="AA936" s="1186">
        <v>9.82</v>
      </c>
      <c r="AB936" s="1186">
        <v>6.34</v>
      </c>
      <c r="AC936" s="1186">
        <v>8.02</v>
      </c>
      <c r="AD936" s="1187">
        <v>3.77</v>
      </c>
    </row>
    <row r="937" spans="1:30" x14ac:dyDescent="0.2">
      <c r="A937">
        <f t="shared" si="48"/>
        <v>24</v>
      </c>
      <c r="B937">
        <v>928</v>
      </c>
      <c r="C937" s="1078">
        <v>3</v>
      </c>
      <c r="D937" s="1077" t="s">
        <v>5102</v>
      </c>
      <c r="E937" s="1077" t="s">
        <v>4653</v>
      </c>
      <c r="F937" s="1185">
        <v>4</v>
      </c>
      <c r="G937" s="1186"/>
      <c r="H937" s="1186"/>
      <c r="I937" s="1186"/>
      <c r="J937" s="1186"/>
      <c r="K937" s="1186"/>
      <c r="L937" s="1186"/>
      <c r="M937" s="1186"/>
      <c r="N937" s="1186"/>
      <c r="O937" s="1186"/>
      <c r="P937" s="1186"/>
      <c r="Q937" s="1186"/>
      <c r="R937" s="1186"/>
      <c r="S937" s="1186"/>
      <c r="T937" s="1186"/>
      <c r="U937" s="1186"/>
      <c r="V937" s="1186"/>
      <c r="W937" s="1186">
        <v>13.3</v>
      </c>
      <c r="X937" s="1186">
        <v>5</v>
      </c>
      <c r="Y937" s="1186">
        <v>11.9</v>
      </c>
      <c r="Z937" s="1186">
        <v>3</v>
      </c>
      <c r="AA937" s="1186">
        <v>13.3</v>
      </c>
      <c r="AB937" s="1186">
        <v>6.5</v>
      </c>
      <c r="AC937" s="1186">
        <v>13.1</v>
      </c>
      <c r="AD937" s="1187">
        <v>3.7</v>
      </c>
    </row>
    <row r="938" spans="1:30" x14ac:dyDescent="0.2">
      <c r="A938">
        <f t="shared" si="48"/>
        <v>24</v>
      </c>
      <c r="B938">
        <v>929</v>
      </c>
      <c r="C938" s="1078">
        <v>3</v>
      </c>
      <c r="D938" s="1077" t="s">
        <v>5102</v>
      </c>
      <c r="E938" s="1077" t="s">
        <v>4654</v>
      </c>
      <c r="F938" s="1185">
        <v>4</v>
      </c>
      <c r="G938" s="1186"/>
      <c r="H938" s="1186"/>
      <c r="I938" s="1186"/>
      <c r="J938" s="1186"/>
      <c r="K938" s="1186"/>
      <c r="L938" s="1186"/>
      <c r="M938" s="1186"/>
      <c r="N938" s="1186"/>
      <c r="O938" s="1186"/>
      <c r="P938" s="1186"/>
      <c r="Q938" s="1186"/>
      <c r="R938" s="1186"/>
      <c r="S938" s="1186"/>
      <c r="T938" s="1186"/>
      <c r="U938" s="1186"/>
      <c r="V938" s="1186"/>
      <c r="W938" s="1186">
        <v>17.64</v>
      </c>
      <c r="X938" s="1186">
        <v>5.05</v>
      </c>
      <c r="Y938" s="1186">
        <v>15.84</v>
      </c>
      <c r="Z938" s="1186">
        <v>3</v>
      </c>
      <c r="AA938" s="1186">
        <v>21.5</v>
      </c>
      <c r="AB938" s="1186">
        <v>6.44</v>
      </c>
      <c r="AC938" s="1186">
        <v>20.2</v>
      </c>
      <c r="AD938" s="1187">
        <v>3.72</v>
      </c>
    </row>
    <row r="939" spans="1:30" x14ac:dyDescent="0.2">
      <c r="A939">
        <f t="shared" si="48"/>
        <v>24</v>
      </c>
      <c r="B939">
        <v>930</v>
      </c>
      <c r="C939" s="1078">
        <v>3</v>
      </c>
      <c r="D939" s="1077" t="s">
        <v>5102</v>
      </c>
      <c r="E939" s="1077" t="s">
        <v>4655</v>
      </c>
      <c r="F939" s="1185">
        <v>4</v>
      </c>
      <c r="G939" s="1186"/>
      <c r="H939" s="1186"/>
      <c r="I939" s="1186"/>
      <c r="J939" s="1186"/>
      <c r="K939" s="1186"/>
      <c r="L939" s="1186"/>
      <c r="M939" s="1186"/>
      <c r="N939" s="1186"/>
      <c r="O939" s="1186"/>
      <c r="P939" s="1186"/>
      <c r="Q939" s="1186"/>
      <c r="R939" s="1186"/>
      <c r="S939" s="1186"/>
      <c r="T939" s="1186"/>
      <c r="U939" s="1186"/>
      <c r="V939" s="1186"/>
      <c r="W939" s="1186">
        <v>7.85</v>
      </c>
      <c r="X939" s="1186">
        <v>4.71</v>
      </c>
      <c r="Y939" s="1186">
        <v>6.31</v>
      </c>
      <c r="Z939" s="1186">
        <v>2.89</v>
      </c>
      <c r="AA939" s="1186">
        <v>9.82</v>
      </c>
      <c r="AB939" s="1186">
        <v>6.34</v>
      </c>
      <c r="AC939" s="1186">
        <v>8.02</v>
      </c>
      <c r="AD939" s="1187">
        <v>3.77</v>
      </c>
    </row>
    <row r="940" spans="1:30" x14ac:dyDescent="0.2">
      <c r="A940">
        <f t="shared" si="48"/>
        <v>24</v>
      </c>
      <c r="B940">
        <v>931</v>
      </c>
      <c r="C940" s="1078">
        <v>3</v>
      </c>
      <c r="D940" s="1077" t="s">
        <v>5102</v>
      </c>
      <c r="E940" s="1077" t="s">
        <v>4656</v>
      </c>
      <c r="F940" s="1185">
        <v>4</v>
      </c>
      <c r="G940" s="1186"/>
      <c r="H940" s="1186"/>
      <c r="I940" s="1186"/>
      <c r="J940" s="1186"/>
      <c r="K940" s="1186"/>
      <c r="L940" s="1186"/>
      <c r="M940" s="1186"/>
      <c r="N940" s="1186"/>
      <c r="O940" s="1186"/>
      <c r="P940" s="1186"/>
      <c r="Q940" s="1186"/>
      <c r="R940" s="1186"/>
      <c r="S940" s="1186"/>
      <c r="T940" s="1186"/>
      <c r="U940" s="1186"/>
      <c r="V940" s="1186"/>
      <c r="W940" s="1186">
        <v>13.3</v>
      </c>
      <c r="X940" s="1186">
        <v>5</v>
      </c>
      <c r="Y940" s="1186">
        <v>11.9</v>
      </c>
      <c r="Z940" s="1186">
        <v>3</v>
      </c>
      <c r="AA940" s="1186">
        <v>13.3</v>
      </c>
      <c r="AB940" s="1186">
        <v>6.5</v>
      </c>
      <c r="AC940" s="1186">
        <v>13.1</v>
      </c>
      <c r="AD940" s="1187">
        <v>3.7</v>
      </c>
    </row>
    <row r="941" spans="1:30" x14ac:dyDescent="0.2">
      <c r="A941">
        <f t="shared" si="48"/>
        <v>24</v>
      </c>
      <c r="B941">
        <v>932</v>
      </c>
      <c r="C941" s="1078">
        <v>3</v>
      </c>
      <c r="D941" s="1077" t="s">
        <v>5102</v>
      </c>
      <c r="E941" s="1077" t="s">
        <v>4173</v>
      </c>
      <c r="F941" s="1185">
        <v>1</v>
      </c>
      <c r="G941" s="1186"/>
      <c r="H941" s="1186"/>
      <c r="I941" s="1186"/>
      <c r="J941" s="1186"/>
      <c r="K941" s="1186"/>
      <c r="L941" s="1186"/>
      <c r="M941" s="1186"/>
      <c r="N941" s="1186"/>
      <c r="O941" s="1186"/>
      <c r="P941" s="1186"/>
      <c r="Q941" s="1186"/>
      <c r="R941" s="1186"/>
      <c r="S941" s="1186"/>
      <c r="T941" s="1186"/>
      <c r="U941" s="1186"/>
      <c r="V941" s="1186"/>
      <c r="W941" s="1186">
        <v>5.8</v>
      </c>
      <c r="X941" s="1186">
        <v>4.45</v>
      </c>
      <c r="Y941" s="1186">
        <v>5.2</v>
      </c>
      <c r="Z941" s="1186">
        <v>2.7</v>
      </c>
      <c r="AA941" s="1186">
        <v>7.1</v>
      </c>
      <c r="AB941" s="1186">
        <v>5.43</v>
      </c>
      <c r="AC941" s="1186">
        <v>6.7</v>
      </c>
      <c r="AD941" s="1187">
        <v>3.35</v>
      </c>
    </row>
    <row r="942" spans="1:30" x14ac:dyDescent="0.2">
      <c r="A942">
        <f t="shared" si="48"/>
        <v>24</v>
      </c>
      <c r="B942">
        <v>933</v>
      </c>
      <c r="C942" s="1078">
        <v>3</v>
      </c>
      <c r="D942" s="1077" t="s">
        <v>5102</v>
      </c>
      <c r="E942" s="1077" t="s">
        <v>4174</v>
      </c>
      <c r="F942" s="1185">
        <v>1</v>
      </c>
      <c r="G942" s="1186"/>
      <c r="H942" s="1186"/>
      <c r="I942" s="1186"/>
      <c r="J942" s="1186"/>
      <c r="K942" s="1186"/>
      <c r="L942" s="1186"/>
      <c r="M942" s="1186"/>
      <c r="N942" s="1186"/>
      <c r="O942" s="1186"/>
      <c r="P942" s="1186"/>
      <c r="Q942" s="1186"/>
      <c r="R942" s="1186"/>
      <c r="S942" s="1186"/>
      <c r="T942" s="1186"/>
      <c r="U942" s="1186"/>
      <c r="V942" s="1186"/>
      <c r="W942" s="1186">
        <v>7.6</v>
      </c>
      <c r="X942" s="1186">
        <v>4.55</v>
      </c>
      <c r="Y942" s="1186">
        <v>6.9</v>
      </c>
      <c r="Z942" s="1186">
        <v>2.72</v>
      </c>
      <c r="AA942" s="1186">
        <v>9.6</v>
      </c>
      <c r="AB942" s="1186">
        <v>5.87</v>
      </c>
      <c r="AC942" s="1186">
        <v>8.9</v>
      </c>
      <c r="AD942" s="1187">
        <v>3.4</v>
      </c>
    </row>
    <row r="943" spans="1:30" x14ac:dyDescent="0.2">
      <c r="A943">
        <f t="shared" si="48"/>
        <v>24</v>
      </c>
      <c r="B943">
        <v>934</v>
      </c>
      <c r="C943" s="1078">
        <v>3</v>
      </c>
      <c r="D943" s="1077" t="s">
        <v>5102</v>
      </c>
      <c r="E943" s="1077" t="s">
        <v>4657</v>
      </c>
      <c r="F943" s="1185">
        <v>1</v>
      </c>
      <c r="G943" s="1186"/>
      <c r="H943" s="1186"/>
      <c r="I943" s="1186"/>
      <c r="J943" s="1186"/>
      <c r="K943" s="1186"/>
      <c r="L943" s="1186"/>
      <c r="M943" s="1186"/>
      <c r="N943" s="1186"/>
      <c r="O943" s="1186"/>
      <c r="P943" s="1186"/>
      <c r="Q943" s="1186"/>
      <c r="R943" s="1186"/>
      <c r="S943" s="1186"/>
      <c r="T943" s="1186"/>
      <c r="U943" s="1186"/>
      <c r="V943" s="1186"/>
      <c r="W943" s="1186">
        <v>10.6</v>
      </c>
      <c r="X943" s="1186">
        <v>4.8099999999999996</v>
      </c>
      <c r="Y943" s="1186">
        <v>9.4</v>
      </c>
      <c r="Z943" s="1186">
        <v>2.78</v>
      </c>
      <c r="AA943" s="1186">
        <v>12.7</v>
      </c>
      <c r="AB943" s="1186">
        <v>6.08</v>
      </c>
      <c r="AC943" s="1186">
        <v>11.9</v>
      </c>
      <c r="AD943" s="1187">
        <v>3.52</v>
      </c>
    </row>
    <row r="944" spans="1:30" x14ac:dyDescent="0.2">
      <c r="A944">
        <f t="shared" si="48"/>
        <v>24</v>
      </c>
      <c r="B944">
        <v>935</v>
      </c>
      <c r="C944" s="1078">
        <v>3</v>
      </c>
      <c r="D944" s="1077" t="s">
        <v>5102</v>
      </c>
      <c r="E944" s="1077" t="s">
        <v>4175</v>
      </c>
      <c r="F944" s="1185">
        <v>1</v>
      </c>
      <c r="G944" s="1186"/>
      <c r="H944" s="1186"/>
      <c r="I944" s="1186"/>
      <c r="J944" s="1186"/>
      <c r="K944" s="1186"/>
      <c r="L944" s="1186"/>
      <c r="M944" s="1186"/>
      <c r="N944" s="1186"/>
      <c r="O944" s="1186"/>
      <c r="P944" s="1186"/>
      <c r="Q944" s="1186"/>
      <c r="R944" s="1186"/>
      <c r="S944" s="1186"/>
      <c r="T944" s="1186"/>
      <c r="U944" s="1186"/>
      <c r="V944" s="1186"/>
      <c r="W944" s="1186">
        <v>13.4</v>
      </c>
      <c r="X944" s="1186">
        <v>4.8099999999999996</v>
      </c>
      <c r="Y944" s="1186">
        <v>12.4</v>
      </c>
      <c r="Z944" s="1186">
        <v>2.96</v>
      </c>
      <c r="AA944" s="1186">
        <v>17.5</v>
      </c>
      <c r="AB944" s="1186">
        <v>6.28</v>
      </c>
      <c r="AC944" s="1186">
        <v>16.2</v>
      </c>
      <c r="AD944" s="1187">
        <v>3.76</v>
      </c>
    </row>
    <row r="945" spans="1:30" x14ac:dyDescent="0.2">
      <c r="A945">
        <f t="shared" si="48"/>
        <v>24</v>
      </c>
      <c r="B945">
        <v>936</v>
      </c>
      <c r="C945" s="1078">
        <v>3</v>
      </c>
      <c r="D945" s="1077" t="s">
        <v>5102</v>
      </c>
      <c r="E945" s="1077" t="s">
        <v>4176</v>
      </c>
      <c r="F945" s="1185">
        <v>1</v>
      </c>
      <c r="G945" s="1186"/>
      <c r="H945" s="1186"/>
      <c r="I945" s="1186"/>
      <c r="J945" s="1186"/>
      <c r="K945" s="1186"/>
      <c r="L945" s="1186"/>
      <c r="M945" s="1186"/>
      <c r="N945" s="1186"/>
      <c r="O945" s="1186"/>
      <c r="P945" s="1186"/>
      <c r="Q945" s="1186"/>
      <c r="R945" s="1186"/>
      <c r="S945" s="1186"/>
      <c r="T945" s="1186"/>
      <c r="U945" s="1186"/>
      <c r="V945" s="1186"/>
      <c r="W945" s="1186">
        <v>17.2</v>
      </c>
      <c r="X945" s="1186">
        <v>4.72</v>
      </c>
      <c r="Y945" s="1186">
        <v>16.3</v>
      </c>
      <c r="Z945" s="1186">
        <v>3.01</v>
      </c>
      <c r="AA945" s="1186">
        <v>22.3</v>
      </c>
      <c r="AB945" s="1186">
        <v>5.88</v>
      </c>
      <c r="AC945" s="1186">
        <v>20.3</v>
      </c>
      <c r="AD945" s="1187">
        <v>3.59</v>
      </c>
    </row>
    <row r="946" spans="1:30" x14ac:dyDescent="0.2">
      <c r="A946">
        <f t="shared" si="48"/>
        <v>24</v>
      </c>
      <c r="B946">
        <v>937</v>
      </c>
      <c r="C946" s="1078">
        <v>3</v>
      </c>
      <c r="D946" s="1077" t="s">
        <v>5102</v>
      </c>
      <c r="E946" s="1077" t="s">
        <v>4658</v>
      </c>
      <c r="F946" s="1185">
        <v>1</v>
      </c>
      <c r="G946" s="1186"/>
      <c r="H946" s="1186"/>
      <c r="I946" s="1186"/>
      <c r="J946" s="1186"/>
      <c r="K946" s="1186"/>
      <c r="L946" s="1186"/>
      <c r="M946" s="1186"/>
      <c r="N946" s="1186"/>
      <c r="O946" s="1186"/>
      <c r="P946" s="1186"/>
      <c r="Q946" s="1186"/>
      <c r="R946" s="1186"/>
      <c r="S946" s="1186"/>
      <c r="T946" s="1186"/>
      <c r="U946" s="1186"/>
      <c r="V946" s="1186"/>
      <c r="W946" s="1186">
        <v>6.5</v>
      </c>
      <c r="X946" s="1186">
        <v>4.5</v>
      </c>
      <c r="Y946" s="1186">
        <v>6.1</v>
      </c>
      <c r="Z946" s="1186">
        <v>3.1</v>
      </c>
      <c r="AA946" s="1186">
        <v>9.1</v>
      </c>
      <c r="AB946" s="1186">
        <v>5.86</v>
      </c>
      <c r="AC946" s="1186">
        <v>8.4</v>
      </c>
      <c r="AD946" s="1187">
        <v>3.97</v>
      </c>
    </row>
    <row r="947" spans="1:30" x14ac:dyDescent="0.2">
      <c r="A947">
        <f t="shared" si="48"/>
        <v>24</v>
      </c>
      <c r="B947">
        <v>938</v>
      </c>
      <c r="C947" s="1078">
        <v>3</v>
      </c>
      <c r="D947" s="1077" t="s">
        <v>5102</v>
      </c>
      <c r="E947" s="1077" t="s">
        <v>4181</v>
      </c>
      <c r="F947" s="1185">
        <v>1</v>
      </c>
      <c r="G947" s="1186"/>
      <c r="H947" s="1186"/>
      <c r="I947" s="1186"/>
      <c r="J947" s="1186"/>
      <c r="K947" s="1186"/>
      <c r="L947" s="1186"/>
      <c r="M947" s="1186"/>
      <c r="N947" s="1186"/>
      <c r="O947" s="1186"/>
      <c r="P947" s="1186"/>
      <c r="Q947" s="1186"/>
      <c r="R947" s="1186"/>
      <c r="S947" s="1186"/>
      <c r="T947" s="1186"/>
      <c r="U947" s="1186"/>
      <c r="V947" s="1186"/>
      <c r="W947" s="1186">
        <v>9.1</v>
      </c>
      <c r="X947" s="1186">
        <v>4.58</v>
      </c>
      <c r="Y947" s="1186">
        <v>8.5</v>
      </c>
      <c r="Z947" s="1186">
        <v>3.15</v>
      </c>
      <c r="AA947" s="1186">
        <v>12.8</v>
      </c>
      <c r="AB947" s="1186">
        <v>5.96</v>
      </c>
      <c r="AC947" s="1186">
        <v>11.8</v>
      </c>
      <c r="AD947" s="1187">
        <v>4.01</v>
      </c>
    </row>
    <row r="948" spans="1:30" x14ac:dyDescent="0.2">
      <c r="A948">
        <f t="shared" si="48"/>
        <v>24</v>
      </c>
      <c r="B948">
        <v>939</v>
      </c>
      <c r="C948" s="1078">
        <v>3</v>
      </c>
      <c r="D948" s="1077" t="s">
        <v>5102</v>
      </c>
      <c r="E948" s="1077" t="s">
        <v>4177</v>
      </c>
      <c r="F948" s="1185">
        <v>2</v>
      </c>
      <c r="G948" s="1186"/>
      <c r="H948" s="1186"/>
      <c r="I948" s="1186"/>
      <c r="J948" s="1186"/>
      <c r="K948" s="1186"/>
      <c r="L948" s="1186"/>
      <c r="M948" s="1186"/>
      <c r="N948" s="1186"/>
      <c r="O948" s="1186"/>
      <c r="P948" s="1186"/>
      <c r="Q948" s="1186"/>
      <c r="R948" s="1186"/>
      <c r="S948" s="1186"/>
      <c r="T948" s="1186"/>
      <c r="U948" s="1186"/>
      <c r="V948" s="1186"/>
      <c r="W948" s="1186">
        <v>20.399999999999999</v>
      </c>
      <c r="X948" s="1186">
        <v>4.9000000000000004</v>
      </c>
      <c r="Y948" s="1186">
        <v>18.8</v>
      </c>
      <c r="Z948" s="1186">
        <v>2.8</v>
      </c>
      <c r="AA948" s="1186">
        <v>27.3</v>
      </c>
      <c r="AB948" s="1186">
        <v>6.5</v>
      </c>
      <c r="AC948" s="1186">
        <v>24.5</v>
      </c>
      <c r="AD948" s="1187">
        <v>3.6</v>
      </c>
    </row>
    <row r="949" spans="1:30" x14ac:dyDescent="0.2">
      <c r="A949">
        <f t="shared" si="48"/>
        <v>24</v>
      </c>
      <c r="B949">
        <v>940</v>
      </c>
      <c r="C949" s="1078">
        <v>3</v>
      </c>
      <c r="D949" s="1077" t="s">
        <v>5102</v>
      </c>
      <c r="E949" s="1077" t="s">
        <v>4178</v>
      </c>
      <c r="F949" s="1185">
        <v>2</v>
      </c>
      <c r="G949" s="1186"/>
      <c r="H949" s="1186"/>
      <c r="I949" s="1186"/>
      <c r="J949" s="1186"/>
      <c r="K949" s="1186"/>
      <c r="L949" s="1186"/>
      <c r="M949" s="1186"/>
      <c r="N949" s="1186"/>
      <c r="O949" s="1186"/>
      <c r="P949" s="1186"/>
      <c r="Q949" s="1186"/>
      <c r="R949" s="1186"/>
      <c r="S949" s="1186"/>
      <c r="T949" s="1186"/>
      <c r="U949" s="1186"/>
      <c r="V949" s="1186"/>
      <c r="W949" s="1186">
        <v>26.2</v>
      </c>
      <c r="X949" s="1186">
        <v>4.8</v>
      </c>
      <c r="Y949" s="1186">
        <v>24.2</v>
      </c>
      <c r="Z949" s="1186">
        <v>2.8</v>
      </c>
      <c r="AA949" s="1186">
        <v>35.1</v>
      </c>
      <c r="AB949" s="1186">
        <v>6.4</v>
      </c>
      <c r="AC949" s="1186">
        <v>31.4</v>
      </c>
      <c r="AD949" s="1187">
        <v>3.5</v>
      </c>
    </row>
    <row r="950" spans="1:30" x14ac:dyDescent="0.2">
      <c r="A950">
        <f t="shared" si="48"/>
        <v>24</v>
      </c>
      <c r="B950">
        <v>941</v>
      </c>
      <c r="C950" s="1078">
        <v>3</v>
      </c>
      <c r="D950" s="1077" t="s">
        <v>5102</v>
      </c>
      <c r="E950" s="1077" t="s">
        <v>4179</v>
      </c>
      <c r="F950" s="1185">
        <v>2</v>
      </c>
      <c r="G950" s="1186"/>
      <c r="H950" s="1186"/>
      <c r="I950" s="1186"/>
      <c r="J950" s="1186"/>
      <c r="K950" s="1186"/>
      <c r="L950" s="1186"/>
      <c r="M950" s="1186"/>
      <c r="N950" s="1186"/>
      <c r="O950" s="1186"/>
      <c r="P950" s="1186"/>
      <c r="Q950" s="1186"/>
      <c r="R950" s="1186"/>
      <c r="S950" s="1186"/>
      <c r="T950" s="1186"/>
      <c r="U950" s="1186"/>
      <c r="V950" s="1186"/>
      <c r="W950" s="1186">
        <v>35.299999999999997</v>
      </c>
      <c r="X950" s="1186">
        <v>5</v>
      </c>
      <c r="Y950" s="1186">
        <v>33.299999999999997</v>
      </c>
      <c r="Z950" s="1186">
        <v>3.1</v>
      </c>
      <c r="AA950" s="1186">
        <v>46.4</v>
      </c>
      <c r="AB950" s="1186">
        <v>6.4</v>
      </c>
      <c r="AC950" s="1186">
        <v>43.6</v>
      </c>
      <c r="AD950" s="1187">
        <v>3.9</v>
      </c>
    </row>
    <row r="951" spans="1:30" x14ac:dyDescent="0.2">
      <c r="A951">
        <f t="shared" si="48"/>
        <v>24</v>
      </c>
      <c r="B951">
        <v>942</v>
      </c>
      <c r="C951" s="1078">
        <v>3</v>
      </c>
      <c r="D951" s="1077" t="s">
        <v>5102</v>
      </c>
      <c r="E951" s="1077" t="s">
        <v>4180</v>
      </c>
      <c r="F951" s="1185">
        <v>2</v>
      </c>
      <c r="G951" s="1206"/>
      <c r="H951" s="1186"/>
      <c r="I951" s="1186"/>
      <c r="J951" s="1186"/>
      <c r="K951" s="1186"/>
      <c r="L951" s="1186"/>
      <c r="M951" s="1186"/>
      <c r="N951" s="1186"/>
      <c r="O951" s="1186"/>
      <c r="P951" s="1186"/>
      <c r="Q951" s="1186"/>
      <c r="R951" s="1186"/>
      <c r="S951" s="1186"/>
      <c r="T951" s="1186"/>
      <c r="U951" s="1186"/>
      <c r="V951" s="1186"/>
      <c r="W951" s="1186">
        <v>42</v>
      </c>
      <c r="X951" s="1186">
        <v>4.8</v>
      </c>
      <c r="Y951" s="1186">
        <v>37.9</v>
      </c>
      <c r="Z951" s="1186">
        <v>2.7</v>
      </c>
      <c r="AA951" s="1186">
        <v>55.4</v>
      </c>
      <c r="AB951" s="1186">
        <v>6.1</v>
      </c>
      <c r="AC951" s="1186">
        <v>49.9</v>
      </c>
      <c r="AD951" s="1187">
        <v>3.5</v>
      </c>
    </row>
    <row r="952" spans="1:30" x14ac:dyDescent="0.2">
      <c r="A952">
        <f t="shared" si="48"/>
        <v>24</v>
      </c>
      <c r="B952">
        <v>943</v>
      </c>
      <c r="C952" s="1078">
        <v>3</v>
      </c>
      <c r="D952" s="1077" t="s">
        <v>5102</v>
      </c>
      <c r="E952" s="1077" t="s">
        <v>4659</v>
      </c>
      <c r="F952" s="1185">
        <v>2</v>
      </c>
      <c r="G952" s="1186"/>
      <c r="H952" s="1186"/>
      <c r="I952" s="1186"/>
      <c r="J952" s="1186"/>
      <c r="K952" s="1186"/>
      <c r="L952" s="1186"/>
      <c r="M952" s="1186"/>
      <c r="N952" s="1186"/>
      <c r="O952" s="1186"/>
      <c r="P952" s="1186"/>
      <c r="Q952" s="1186"/>
      <c r="R952" s="1186"/>
      <c r="S952" s="1186"/>
      <c r="T952" s="1186"/>
      <c r="U952" s="1186"/>
      <c r="V952" s="1186"/>
      <c r="W952" s="1186">
        <v>12.3</v>
      </c>
      <c r="X952" s="1186">
        <v>4.4800000000000004</v>
      </c>
      <c r="Y952" s="1186">
        <v>10.1</v>
      </c>
      <c r="Z952" s="1186">
        <v>2.7</v>
      </c>
      <c r="AA952" s="1186">
        <v>17</v>
      </c>
      <c r="AB952" s="1186">
        <v>5.76</v>
      </c>
      <c r="AC952" s="1186">
        <v>15.1</v>
      </c>
      <c r="AD952" s="1187">
        <v>3.65</v>
      </c>
    </row>
    <row r="953" spans="1:30" x14ac:dyDescent="0.2">
      <c r="A953">
        <f t="shared" si="48"/>
        <v>24</v>
      </c>
      <c r="B953">
        <v>944</v>
      </c>
      <c r="C953" s="1078">
        <v>3</v>
      </c>
      <c r="D953" s="1077" t="s">
        <v>5102</v>
      </c>
      <c r="E953" s="1077" t="s">
        <v>4660</v>
      </c>
      <c r="F953" s="1185">
        <v>2</v>
      </c>
      <c r="G953" s="1186"/>
      <c r="H953" s="1186"/>
      <c r="I953" s="1186"/>
      <c r="J953" s="1186"/>
      <c r="K953" s="1186"/>
      <c r="L953" s="1186"/>
      <c r="M953" s="1186"/>
      <c r="N953" s="1186"/>
      <c r="O953" s="1186"/>
      <c r="P953" s="1186"/>
      <c r="Q953" s="1186"/>
      <c r="R953" s="1186"/>
      <c r="S953" s="1186"/>
      <c r="T953" s="1186"/>
      <c r="U953" s="1186"/>
      <c r="V953" s="1186"/>
      <c r="W953" s="1186">
        <v>18</v>
      </c>
      <c r="X953" s="1186">
        <v>4.42</v>
      </c>
      <c r="Y953" s="1186">
        <v>15.3</v>
      </c>
      <c r="Z953" s="1186">
        <v>2.83</v>
      </c>
      <c r="AA953" s="1186">
        <v>27.7</v>
      </c>
      <c r="AB953" s="1186">
        <v>5.61</v>
      </c>
      <c r="AC953" s="1186">
        <v>21.8</v>
      </c>
      <c r="AD953" s="1187">
        <v>3.69</v>
      </c>
    </row>
    <row r="954" spans="1:30" x14ac:dyDescent="0.2">
      <c r="A954">
        <f t="shared" si="48"/>
        <v>24</v>
      </c>
      <c r="B954">
        <v>945</v>
      </c>
      <c r="C954" s="1078">
        <v>3</v>
      </c>
      <c r="D954" s="1077" t="s">
        <v>5102</v>
      </c>
      <c r="E954" s="1077" t="s">
        <v>4661</v>
      </c>
      <c r="F954" s="1185">
        <v>2</v>
      </c>
      <c r="G954" s="1186"/>
      <c r="H954" s="1186"/>
      <c r="I954" s="1186"/>
      <c r="J954" s="1186"/>
      <c r="K954" s="1186"/>
      <c r="L954" s="1186"/>
      <c r="M954" s="1186"/>
      <c r="N954" s="1186"/>
      <c r="O954" s="1186"/>
      <c r="P954" s="1186"/>
      <c r="Q954" s="1186"/>
      <c r="R954" s="1186"/>
      <c r="S954" s="1186"/>
      <c r="T954" s="1186"/>
      <c r="U954" s="1186"/>
      <c r="V954" s="1186"/>
      <c r="W954" s="1186">
        <v>20.9</v>
      </c>
      <c r="X954" s="1186">
        <v>4.58</v>
      </c>
      <c r="Y954" s="1186">
        <v>17.2</v>
      </c>
      <c r="Z954" s="1186">
        <v>2.76</v>
      </c>
      <c r="AA954" s="1186">
        <v>28.8</v>
      </c>
      <c r="AB954" s="1186">
        <v>5.89</v>
      </c>
      <c r="AC954" s="1186">
        <v>25.5</v>
      </c>
      <c r="AD954" s="1187">
        <v>3.73</v>
      </c>
    </row>
    <row r="955" spans="1:30" x14ac:dyDescent="0.2">
      <c r="A955">
        <f t="shared" si="48"/>
        <v>24</v>
      </c>
      <c r="B955">
        <v>946</v>
      </c>
      <c r="C955" s="1078">
        <v>3</v>
      </c>
      <c r="D955" s="1077" t="s">
        <v>5102</v>
      </c>
      <c r="E955" s="1077" t="s">
        <v>4662</v>
      </c>
      <c r="F955" s="1185">
        <v>2</v>
      </c>
      <c r="G955" s="1186"/>
      <c r="H955" s="1186"/>
      <c r="I955" s="1186"/>
      <c r="J955" s="1186"/>
      <c r="K955" s="1186"/>
      <c r="L955" s="1186"/>
      <c r="M955" s="1186"/>
      <c r="N955" s="1186"/>
      <c r="O955" s="1186"/>
      <c r="P955" s="1186"/>
      <c r="Q955" s="1186"/>
      <c r="R955" s="1186"/>
      <c r="S955" s="1186"/>
      <c r="T955" s="1186"/>
      <c r="U955" s="1186"/>
      <c r="V955" s="1186"/>
      <c r="W955" s="1186">
        <v>57.9</v>
      </c>
      <c r="X955" s="1186">
        <v>4.63</v>
      </c>
      <c r="Y955" s="1186">
        <v>52.5</v>
      </c>
      <c r="Z955" s="1186">
        <v>2.8</v>
      </c>
      <c r="AA955" s="1186">
        <v>76.900000000000006</v>
      </c>
      <c r="AB955" s="1186">
        <v>6.07</v>
      </c>
      <c r="AC955" s="1186">
        <v>70.2</v>
      </c>
      <c r="AD955" s="1187">
        <v>3.73</v>
      </c>
    </row>
    <row r="956" spans="1:30" x14ac:dyDescent="0.2">
      <c r="A956">
        <f t="shared" si="48"/>
        <v>24</v>
      </c>
      <c r="B956">
        <v>947</v>
      </c>
      <c r="C956" s="1078">
        <v>3</v>
      </c>
      <c r="D956" s="1077" t="s">
        <v>5102</v>
      </c>
      <c r="E956" s="1077" t="s">
        <v>4663</v>
      </c>
      <c r="F956" s="1185">
        <v>2</v>
      </c>
      <c r="G956" s="1186"/>
      <c r="H956" s="1186"/>
      <c r="I956" s="1186"/>
      <c r="J956" s="1186"/>
      <c r="K956" s="1186"/>
      <c r="L956" s="1186"/>
      <c r="M956" s="1186"/>
      <c r="N956" s="1186"/>
      <c r="O956" s="1186"/>
      <c r="P956" s="1186"/>
      <c r="Q956" s="1186"/>
      <c r="R956" s="1186"/>
      <c r="S956" s="1186"/>
      <c r="T956" s="1186"/>
      <c r="U956" s="1186"/>
      <c r="V956" s="1186"/>
      <c r="W956" s="1186">
        <v>73.2</v>
      </c>
      <c r="X956" s="1186">
        <v>4.5999999999999996</v>
      </c>
      <c r="Y956" s="1186">
        <v>70</v>
      </c>
      <c r="Z956" s="1186">
        <v>2.9</v>
      </c>
      <c r="AA956" s="1186">
        <v>97.2</v>
      </c>
      <c r="AB956" s="1186">
        <v>5.87</v>
      </c>
      <c r="AC956" s="1186">
        <v>89.7</v>
      </c>
      <c r="AD956" s="1187">
        <v>3.64</v>
      </c>
    </row>
    <row r="957" spans="1:30" x14ac:dyDescent="0.2">
      <c r="A957">
        <f t="shared" si="48"/>
        <v>24</v>
      </c>
      <c r="B957">
        <v>948</v>
      </c>
      <c r="C957" s="1078">
        <v>3</v>
      </c>
      <c r="D957" s="1077" t="s">
        <v>5102</v>
      </c>
      <c r="E957" s="1077" t="s">
        <v>4664</v>
      </c>
      <c r="F957" s="1185">
        <v>2</v>
      </c>
      <c r="G957" s="1186"/>
      <c r="H957" s="1186"/>
      <c r="I957" s="1186"/>
      <c r="J957" s="1186"/>
      <c r="K957" s="1186"/>
      <c r="L957" s="1186"/>
      <c r="M957" s="1186"/>
      <c r="N957" s="1186"/>
      <c r="O957" s="1186"/>
      <c r="P957" s="1186"/>
      <c r="Q957" s="1186"/>
      <c r="R957" s="1186"/>
      <c r="S957" s="1186"/>
      <c r="T957" s="1186"/>
      <c r="U957" s="1186"/>
      <c r="V957" s="1186"/>
      <c r="W957" s="1186">
        <v>84.8</v>
      </c>
      <c r="X957" s="1186">
        <v>4.63</v>
      </c>
      <c r="Y957" s="1186">
        <v>80.599999999999994</v>
      </c>
      <c r="Z957" s="1186">
        <v>2.94</v>
      </c>
      <c r="AA957" s="1186">
        <v>112.8</v>
      </c>
      <c r="AB957" s="1186">
        <v>5.91</v>
      </c>
      <c r="AC957" s="1186">
        <v>102.2</v>
      </c>
      <c r="AD957" s="1187">
        <v>3.66</v>
      </c>
    </row>
    <row r="958" spans="1:30" x14ac:dyDescent="0.2">
      <c r="A958">
        <f t="shared" si="48"/>
        <v>24</v>
      </c>
      <c r="B958">
        <v>949</v>
      </c>
      <c r="C958" s="1078">
        <v>3</v>
      </c>
      <c r="D958" s="1077" t="s">
        <v>5102</v>
      </c>
      <c r="E958" s="1077" t="s">
        <v>4665</v>
      </c>
      <c r="F958" s="1185">
        <v>2</v>
      </c>
      <c r="G958" s="1186"/>
      <c r="H958" s="1186"/>
      <c r="I958" s="1186"/>
      <c r="J958" s="1186"/>
      <c r="K958" s="1186"/>
      <c r="L958" s="1186"/>
      <c r="M958" s="1186"/>
      <c r="N958" s="1186"/>
      <c r="O958" s="1186"/>
      <c r="P958" s="1186"/>
      <c r="Q958" s="1186"/>
      <c r="R958" s="1186"/>
      <c r="S958" s="1186"/>
      <c r="T958" s="1186"/>
      <c r="U958" s="1186"/>
      <c r="V958" s="1186"/>
      <c r="W958" s="1186">
        <v>113.4</v>
      </c>
      <c r="X958" s="1186">
        <v>4.62</v>
      </c>
      <c r="Y958" s="1186">
        <v>107.4</v>
      </c>
      <c r="Z958" s="1186">
        <v>2.92</v>
      </c>
      <c r="AA958" s="1186">
        <v>149.1</v>
      </c>
      <c r="AB958" s="1186">
        <v>5.73</v>
      </c>
      <c r="AC958" s="1186">
        <v>136.9</v>
      </c>
      <c r="AD958" s="1187">
        <v>3.62</v>
      </c>
    </row>
    <row r="959" spans="1:30" x14ac:dyDescent="0.2">
      <c r="A959">
        <f t="shared" si="48"/>
        <v>24</v>
      </c>
      <c r="B959">
        <v>950</v>
      </c>
      <c r="C959" s="1078">
        <v>3</v>
      </c>
      <c r="D959" s="1077" t="s">
        <v>5102</v>
      </c>
      <c r="E959" s="1077" t="s">
        <v>4666</v>
      </c>
      <c r="F959" s="1185">
        <v>2</v>
      </c>
      <c r="G959" s="1186"/>
      <c r="H959" s="1186"/>
      <c r="I959" s="1186"/>
      <c r="J959" s="1186"/>
      <c r="K959" s="1186"/>
      <c r="L959" s="1186"/>
      <c r="M959" s="1186"/>
      <c r="N959" s="1186"/>
      <c r="O959" s="1186"/>
      <c r="P959" s="1186"/>
      <c r="Q959" s="1186"/>
      <c r="R959" s="1186"/>
      <c r="S959" s="1186"/>
      <c r="T959" s="1186"/>
      <c r="U959" s="1186"/>
      <c r="V959" s="1186"/>
      <c r="W959" s="1186">
        <v>137.80000000000001</v>
      </c>
      <c r="X959" s="1186">
        <v>4.6100000000000003</v>
      </c>
      <c r="Y959" s="1186">
        <v>127.8</v>
      </c>
      <c r="Z959" s="1186">
        <v>2.91</v>
      </c>
      <c r="AA959" s="1186">
        <v>181.1</v>
      </c>
      <c r="AB959" s="1186">
        <v>5.79</v>
      </c>
      <c r="AC959" s="1186">
        <v>164.3</v>
      </c>
      <c r="AD959" s="1187">
        <v>3.61</v>
      </c>
    </row>
    <row r="960" spans="1:30" x14ac:dyDescent="0.2">
      <c r="A960">
        <f t="shared" si="48"/>
        <v>24</v>
      </c>
      <c r="B960">
        <v>951</v>
      </c>
      <c r="C960" s="1078">
        <v>3</v>
      </c>
      <c r="D960" s="1077" t="s">
        <v>5102</v>
      </c>
      <c r="E960" s="1077" t="s">
        <v>4667</v>
      </c>
      <c r="F960" s="1185">
        <v>2</v>
      </c>
      <c r="G960" s="1186"/>
      <c r="H960" s="1186"/>
      <c r="I960" s="1186"/>
      <c r="J960" s="1186"/>
      <c r="K960" s="1186"/>
      <c r="L960" s="1186"/>
      <c r="M960" s="1186"/>
      <c r="N960" s="1186"/>
      <c r="O960" s="1186"/>
      <c r="P960" s="1186"/>
      <c r="Q960" s="1186"/>
      <c r="R960" s="1186"/>
      <c r="S960" s="1186"/>
      <c r="T960" s="1186"/>
      <c r="U960" s="1186"/>
      <c r="V960" s="1186"/>
      <c r="W960" s="1186">
        <v>35</v>
      </c>
      <c r="X960" s="1186">
        <v>4.32</v>
      </c>
      <c r="Y960" s="1186">
        <v>32.200000000000003</v>
      </c>
      <c r="Z960" s="1186">
        <v>2.74</v>
      </c>
      <c r="AA960" s="1186">
        <v>49.3</v>
      </c>
      <c r="AB960" s="1186">
        <v>5.99</v>
      </c>
      <c r="AC960" s="1186">
        <v>44.8</v>
      </c>
      <c r="AD960" s="1187">
        <v>3.58</v>
      </c>
    </row>
    <row r="961" spans="1:30" x14ac:dyDescent="0.2">
      <c r="A961">
        <f t="shared" si="48"/>
        <v>24</v>
      </c>
      <c r="B961">
        <v>952</v>
      </c>
      <c r="C961" s="1078">
        <v>3</v>
      </c>
      <c r="D961" s="1077" t="s">
        <v>5102</v>
      </c>
      <c r="E961" s="1077" t="s">
        <v>4668</v>
      </c>
      <c r="F961" s="1185">
        <v>2</v>
      </c>
      <c r="G961" s="1186"/>
      <c r="H961" s="1186"/>
      <c r="I961" s="1186"/>
      <c r="J961" s="1186"/>
      <c r="K961" s="1186"/>
      <c r="L961" s="1186"/>
      <c r="M961" s="1186"/>
      <c r="N961" s="1186"/>
      <c r="O961" s="1186"/>
      <c r="P961" s="1186"/>
      <c r="Q961" s="1186"/>
      <c r="R961" s="1186"/>
      <c r="S961" s="1186"/>
      <c r="T961" s="1186"/>
      <c r="U961" s="1186"/>
      <c r="V961" s="1186"/>
      <c r="W961" s="1186">
        <v>52.5</v>
      </c>
      <c r="X961" s="1186">
        <v>4.38</v>
      </c>
      <c r="Y961" s="1186">
        <v>51.3</v>
      </c>
      <c r="Z961" s="1186">
        <v>2.84</v>
      </c>
      <c r="AA961" s="1186">
        <v>71.8</v>
      </c>
      <c r="AB961" s="1186">
        <v>5.81</v>
      </c>
      <c r="AC961" s="1186">
        <v>69</v>
      </c>
      <c r="AD961" s="1187">
        <v>3.68</v>
      </c>
    </row>
    <row r="962" spans="1:30" x14ac:dyDescent="0.2">
      <c r="A962">
        <f t="shared" si="48"/>
        <v>24</v>
      </c>
      <c r="B962">
        <v>953</v>
      </c>
      <c r="C962" s="1078">
        <v>3</v>
      </c>
      <c r="D962" s="1077" t="s">
        <v>5102</v>
      </c>
      <c r="E962" s="1077" t="s">
        <v>4669</v>
      </c>
      <c r="F962" s="1185">
        <v>2</v>
      </c>
      <c r="G962" s="1186"/>
      <c r="H962" s="1186"/>
      <c r="I962" s="1186"/>
      <c r="J962" s="1186"/>
      <c r="K962" s="1186"/>
      <c r="L962" s="1186"/>
      <c r="M962" s="1186"/>
      <c r="N962" s="1186"/>
      <c r="O962" s="1186"/>
      <c r="P962" s="1186"/>
      <c r="Q962" s="1186"/>
      <c r="R962" s="1186"/>
      <c r="S962" s="1186"/>
      <c r="T962" s="1186"/>
      <c r="U962" s="1186"/>
      <c r="V962" s="1186"/>
      <c r="W962" s="1186">
        <v>71</v>
      </c>
      <c r="X962" s="1186">
        <v>4.34</v>
      </c>
      <c r="Y962" s="1186">
        <v>69.5</v>
      </c>
      <c r="Z962" s="1186">
        <v>2.75</v>
      </c>
      <c r="AA962" s="1186">
        <v>97.1</v>
      </c>
      <c r="AB962" s="1186">
        <v>5.76</v>
      </c>
      <c r="AC962" s="1186">
        <v>94.1</v>
      </c>
      <c r="AD962" s="1187">
        <v>3.63</v>
      </c>
    </row>
    <row r="963" spans="1:30" x14ac:dyDescent="0.2">
      <c r="A963">
        <f t="shared" si="48"/>
        <v>24</v>
      </c>
      <c r="B963">
        <v>954</v>
      </c>
      <c r="C963" s="1078">
        <v>3</v>
      </c>
      <c r="D963" s="1077" t="s">
        <v>5102</v>
      </c>
      <c r="E963" s="1077" t="s">
        <v>4670</v>
      </c>
      <c r="F963" s="1185">
        <v>2</v>
      </c>
      <c r="G963" s="1186"/>
      <c r="H963" s="1186"/>
      <c r="I963" s="1186"/>
      <c r="J963" s="1186"/>
      <c r="K963" s="1186"/>
      <c r="L963" s="1186"/>
      <c r="M963" s="1186"/>
      <c r="N963" s="1186"/>
      <c r="O963" s="1186"/>
      <c r="P963" s="1186"/>
      <c r="Q963" s="1186"/>
      <c r="R963" s="1186"/>
      <c r="S963" s="1186"/>
      <c r="T963" s="1186"/>
      <c r="U963" s="1186"/>
      <c r="V963" s="1186"/>
      <c r="W963" s="1186">
        <v>87.4</v>
      </c>
      <c r="X963" s="1186">
        <v>4.3</v>
      </c>
      <c r="Y963" s="1186">
        <v>83.5</v>
      </c>
      <c r="Z963" s="1186">
        <v>2.74</v>
      </c>
      <c r="AA963" s="1186">
        <v>119.5</v>
      </c>
      <c r="AB963" s="1186">
        <v>5.66</v>
      </c>
      <c r="AC963" s="1186">
        <v>115.4</v>
      </c>
      <c r="AD963" s="1187">
        <v>3.58</v>
      </c>
    </row>
    <row r="964" spans="1:30" x14ac:dyDescent="0.2">
      <c r="A964">
        <f t="shared" si="48"/>
        <v>24</v>
      </c>
      <c r="B964">
        <v>955</v>
      </c>
      <c r="C964" s="1078">
        <v>4</v>
      </c>
      <c r="D964" s="1077" t="s">
        <v>5102</v>
      </c>
      <c r="E964" s="1077" t="s">
        <v>4652</v>
      </c>
      <c r="F964" s="1185">
        <v>4</v>
      </c>
      <c r="G964" s="1186"/>
      <c r="H964" s="1186"/>
      <c r="I964" s="1186"/>
      <c r="J964" s="1186"/>
      <c r="K964" s="1186"/>
      <c r="L964" s="1186"/>
      <c r="M964" s="1186"/>
      <c r="N964" s="1186"/>
      <c r="O964" s="1186"/>
      <c r="P964" s="1186"/>
      <c r="Q964" s="1186"/>
      <c r="R964" s="1186"/>
      <c r="S964" s="1186"/>
      <c r="T964" s="1186"/>
      <c r="U964" s="1186"/>
      <c r="V964" s="1186"/>
      <c r="W964" s="1186">
        <v>7.85</v>
      </c>
      <c r="X964" s="1186">
        <v>4.71</v>
      </c>
      <c r="Y964" s="1186">
        <v>6.31</v>
      </c>
      <c r="Z964" s="1186">
        <v>2.89</v>
      </c>
      <c r="AA964" s="1186">
        <v>9.82</v>
      </c>
      <c r="AB964" s="1186">
        <v>6.34</v>
      </c>
      <c r="AC964" s="1186">
        <v>8.02</v>
      </c>
      <c r="AD964" s="1187">
        <v>3.77</v>
      </c>
    </row>
    <row r="965" spans="1:30" x14ac:dyDescent="0.2">
      <c r="A965">
        <f t="shared" si="48"/>
        <v>24</v>
      </c>
      <c r="B965">
        <v>956</v>
      </c>
      <c r="C965" s="1078">
        <v>4</v>
      </c>
      <c r="D965" s="1077" t="s">
        <v>5102</v>
      </c>
      <c r="E965" s="1077" t="s">
        <v>4653</v>
      </c>
      <c r="F965" s="1185">
        <v>4</v>
      </c>
      <c r="G965" s="1186"/>
      <c r="H965" s="1186"/>
      <c r="I965" s="1186"/>
      <c r="J965" s="1186"/>
      <c r="K965" s="1186"/>
      <c r="L965" s="1186"/>
      <c r="M965" s="1186"/>
      <c r="N965" s="1186"/>
      <c r="O965" s="1186"/>
      <c r="P965" s="1186"/>
      <c r="Q965" s="1186"/>
      <c r="R965" s="1186"/>
      <c r="S965" s="1186"/>
      <c r="T965" s="1186"/>
      <c r="U965" s="1186"/>
      <c r="V965" s="1186"/>
      <c r="W965" s="1186">
        <v>13.3</v>
      </c>
      <c r="X965" s="1186">
        <v>5</v>
      </c>
      <c r="Y965" s="1186">
        <v>11.9</v>
      </c>
      <c r="Z965" s="1186">
        <v>3</v>
      </c>
      <c r="AA965" s="1186">
        <v>13.3</v>
      </c>
      <c r="AB965" s="1186">
        <v>6.5</v>
      </c>
      <c r="AC965" s="1186">
        <v>13.1</v>
      </c>
      <c r="AD965" s="1187">
        <v>3.7</v>
      </c>
    </row>
    <row r="966" spans="1:30" x14ac:dyDescent="0.2">
      <c r="A966">
        <f t="shared" si="48"/>
        <v>24</v>
      </c>
      <c r="B966">
        <v>957</v>
      </c>
      <c r="C966" s="1078">
        <v>4</v>
      </c>
      <c r="D966" s="1077" t="s">
        <v>5102</v>
      </c>
      <c r="E966" s="1077" t="s">
        <v>4654</v>
      </c>
      <c r="F966" s="1185">
        <v>4</v>
      </c>
      <c r="G966" s="1186"/>
      <c r="H966" s="1186"/>
      <c r="I966" s="1186"/>
      <c r="J966" s="1186"/>
      <c r="K966" s="1186"/>
      <c r="L966" s="1186"/>
      <c r="M966" s="1186"/>
      <c r="N966" s="1186"/>
      <c r="O966" s="1186"/>
      <c r="P966" s="1186"/>
      <c r="Q966" s="1186"/>
      <c r="R966" s="1186"/>
      <c r="S966" s="1186"/>
      <c r="T966" s="1186"/>
      <c r="U966" s="1186"/>
      <c r="V966" s="1186"/>
      <c r="W966" s="1186">
        <v>17.64</v>
      </c>
      <c r="X966" s="1186">
        <v>5.05</v>
      </c>
      <c r="Y966" s="1186">
        <v>15.84</v>
      </c>
      <c r="Z966" s="1186">
        <v>3</v>
      </c>
      <c r="AA966" s="1186">
        <v>21.5</v>
      </c>
      <c r="AB966" s="1186">
        <v>6.44</v>
      </c>
      <c r="AC966" s="1186">
        <v>20.2</v>
      </c>
      <c r="AD966" s="1187">
        <v>3.72</v>
      </c>
    </row>
    <row r="967" spans="1:30" x14ac:dyDescent="0.2">
      <c r="A967">
        <f t="shared" si="48"/>
        <v>24</v>
      </c>
      <c r="B967">
        <v>958</v>
      </c>
      <c r="C967" s="1078">
        <v>4</v>
      </c>
      <c r="D967" s="1077" t="s">
        <v>5102</v>
      </c>
      <c r="E967" s="1077" t="s">
        <v>4655</v>
      </c>
      <c r="F967" s="1185">
        <v>4</v>
      </c>
      <c r="G967" s="1186"/>
      <c r="H967" s="1186"/>
      <c r="I967" s="1186"/>
      <c r="J967" s="1186"/>
      <c r="K967" s="1186"/>
      <c r="L967" s="1186"/>
      <c r="M967" s="1186"/>
      <c r="N967" s="1186"/>
      <c r="O967" s="1186"/>
      <c r="P967" s="1186"/>
      <c r="Q967" s="1186"/>
      <c r="R967" s="1186"/>
      <c r="S967" s="1186"/>
      <c r="T967" s="1186"/>
      <c r="U967" s="1186"/>
      <c r="V967" s="1186"/>
      <c r="W967" s="1186">
        <v>7.85</v>
      </c>
      <c r="X967" s="1186">
        <v>4.71</v>
      </c>
      <c r="Y967" s="1186">
        <v>6.31</v>
      </c>
      <c r="Z967" s="1186">
        <v>2.89</v>
      </c>
      <c r="AA967" s="1186">
        <v>9.82</v>
      </c>
      <c r="AB967" s="1186">
        <v>6.34</v>
      </c>
      <c r="AC967" s="1186">
        <v>8.02</v>
      </c>
      <c r="AD967" s="1187">
        <v>3.77</v>
      </c>
    </row>
    <row r="968" spans="1:30" x14ac:dyDescent="0.2">
      <c r="A968">
        <f t="shared" si="48"/>
        <v>24</v>
      </c>
      <c r="B968">
        <v>959</v>
      </c>
      <c r="C968" s="1078">
        <v>4</v>
      </c>
      <c r="D968" s="1077" t="s">
        <v>5102</v>
      </c>
      <c r="E968" s="1077" t="s">
        <v>4656</v>
      </c>
      <c r="F968" s="1185">
        <v>4</v>
      </c>
      <c r="G968" s="1186"/>
      <c r="H968" s="1186"/>
      <c r="I968" s="1186"/>
      <c r="J968" s="1186"/>
      <c r="K968" s="1186"/>
      <c r="L968" s="1186"/>
      <c r="M968" s="1186"/>
      <c r="N968" s="1186"/>
      <c r="O968" s="1186"/>
      <c r="P968" s="1186"/>
      <c r="Q968" s="1186"/>
      <c r="R968" s="1186"/>
      <c r="S968" s="1186"/>
      <c r="T968" s="1186"/>
      <c r="U968" s="1186"/>
      <c r="V968" s="1186"/>
      <c r="W968" s="1186">
        <v>13.3</v>
      </c>
      <c r="X968" s="1186">
        <v>5</v>
      </c>
      <c r="Y968" s="1186">
        <v>11.9</v>
      </c>
      <c r="Z968" s="1186">
        <v>3</v>
      </c>
      <c r="AA968" s="1186">
        <v>13.3</v>
      </c>
      <c r="AB968" s="1186">
        <v>6.5</v>
      </c>
      <c r="AC968" s="1186">
        <v>13.1</v>
      </c>
      <c r="AD968" s="1187">
        <v>3.7</v>
      </c>
    </row>
    <row r="969" spans="1:30" x14ac:dyDescent="0.2">
      <c r="A969">
        <f t="shared" si="48"/>
        <v>24</v>
      </c>
      <c r="B969">
        <v>960</v>
      </c>
      <c r="C969" s="1078">
        <v>4</v>
      </c>
      <c r="D969" s="1077" t="s">
        <v>5102</v>
      </c>
      <c r="E969" s="1077" t="s">
        <v>4173</v>
      </c>
      <c r="F969" s="1185">
        <v>1</v>
      </c>
      <c r="G969" s="1186"/>
      <c r="H969" s="1186"/>
      <c r="I969" s="1186"/>
      <c r="J969" s="1186"/>
      <c r="K969" s="1186"/>
      <c r="L969" s="1186"/>
      <c r="M969" s="1186"/>
      <c r="N969" s="1186"/>
      <c r="O969" s="1186"/>
      <c r="P969" s="1186"/>
      <c r="Q969" s="1186"/>
      <c r="R969" s="1186"/>
      <c r="S969" s="1186"/>
      <c r="T969" s="1186"/>
      <c r="U969" s="1186"/>
      <c r="V969" s="1186"/>
      <c r="W969" s="1186">
        <v>5.8</v>
      </c>
      <c r="X969" s="1186">
        <v>4.45</v>
      </c>
      <c r="Y969" s="1186">
        <v>5.2</v>
      </c>
      <c r="Z969" s="1186">
        <v>2.7</v>
      </c>
      <c r="AA969" s="1186">
        <v>7.1</v>
      </c>
      <c r="AB969" s="1186">
        <v>5.43</v>
      </c>
      <c r="AC969" s="1186">
        <v>6.7</v>
      </c>
      <c r="AD969" s="1187">
        <v>3.35</v>
      </c>
    </row>
    <row r="970" spans="1:30" x14ac:dyDescent="0.2">
      <c r="A970">
        <f t="shared" si="48"/>
        <v>24</v>
      </c>
      <c r="B970">
        <v>961</v>
      </c>
      <c r="C970" s="1078">
        <v>4</v>
      </c>
      <c r="D970" s="1077" t="s">
        <v>5102</v>
      </c>
      <c r="E970" s="1077" t="s">
        <v>4174</v>
      </c>
      <c r="F970" s="1185">
        <v>1</v>
      </c>
      <c r="G970" s="1186"/>
      <c r="H970" s="1186"/>
      <c r="I970" s="1186"/>
      <c r="J970" s="1186"/>
      <c r="K970" s="1186"/>
      <c r="L970" s="1186"/>
      <c r="M970" s="1186"/>
      <c r="N970" s="1186"/>
      <c r="O970" s="1186"/>
      <c r="P970" s="1186"/>
      <c r="Q970" s="1186"/>
      <c r="R970" s="1186"/>
      <c r="S970" s="1186"/>
      <c r="T970" s="1186"/>
      <c r="U970" s="1186"/>
      <c r="V970" s="1186"/>
      <c r="W970" s="1186">
        <v>7.6</v>
      </c>
      <c r="X970" s="1186">
        <v>4.55</v>
      </c>
      <c r="Y970" s="1186">
        <v>6.9</v>
      </c>
      <c r="Z970" s="1186">
        <v>2.72</v>
      </c>
      <c r="AA970" s="1186">
        <v>9.6</v>
      </c>
      <c r="AB970" s="1186">
        <v>5.87</v>
      </c>
      <c r="AC970" s="1186">
        <v>8.9</v>
      </c>
      <c r="AD970" s="1187">
        <v>3.4</v>
      </c>
    </row>
    <row r="971" spans="1:30" x14ac:dyDescent="0.2">
      <c r="A971">
        <f t="shared" si="48"/>
        <v>24</v>
      </c>
      <c r="B971">
        <v>962</v>
      </c>
      <c r="C971" s="1078">
        <v>4</v>
      </c>
      <c r="D971" s="1077" t="s">
        <v>5102</v>
      </c>
      <c r="E971" s="1077" t="s">
        <v>4657</v>
      </c>
      <c r="F971" s="1185">
        <v>1</v>
      </c>
      <c r="G971" s="1186"/>
      <c r="H971" s="1186"/>
      <c r="I971" s="1186"/>
      <c r="J971" s="1186"/>
      <c r="K971" s="1186"/>
      <c r="L971" s="1186"/>
      <c r="M971" s="1186"/>
      <c r="N971" s="1186"/>
      <c r="O971" s="1186"/>
      <c r="P971" s="1186"/>
      <c r="Q971" s="1186"/>
      <c r="R971" s="1186"/>
      <c r="S971" s="1186"/>
      <c r="T971" s="1186"/>
      <c r="U971" s="1186"/>
      <c r="V971" s="1186"/>
      <c r="W971" s="1186">
        <v>10.6</v>
      </c>
      <c r="X971" s="1186">
        <v>4.8099999999999996</v>
      </c>
      <c r="Y971" s="1186">
        <v>9.4</v>
      </c>
      <c r="Z971" s="1186">
        <v>2.78</v>
      </c>
      <c r="AA971" s="1186">
        <v>12.7</v>
      </c>
      <c r="AB971" s="1186">
        <v>6.08</v>
      </c>
      <c r="AC971" s="1186">
        <v>11.9</v>
      </c>
      <c r="AD971" s="1187">
        <v>3.52</v>
      </c>
    </row>
    <row r="972" spans="1:30" x14ac:dyDescent="0.2">
      <c r="A972">
        <f t="shared" ref="A972:A1035" si="49">A971+(D972&lt;&gt;D971)*1</f>
        <v>24</v>
      </c>
      <c r="B972">
        <v>963</v>
      </c>
      <c r="C972" s="1078">
        <v>4</v>
      </c>
      <c r="D972" s="1077" t="s">
        <v>5102</v>
      </c>
      <c r="E972" s="1077" t="s">
        <v>4175</v>
      </c>
      <c r="F972" s="1185">
        <v>1</v>
      </c>
      <c r="G972" s="1186"/>
      <c r="H972" s="1186"/>
      <c r="I972" s="1186"/>
      <c r="J972" s="1186"/>
      <c r="K972" s="1186"/>
      <c r="L972" s="1186"/>
      <c r="M972" s="1186"/>
      <c r="N972" s="1186"/>
      <c r="O972" s="1186"/>
      <c r="P972" s="1186"/>
      <c r="Q972" s="1186"/>
      <c r="R972" s="1186"/>
      <c r="S972" s="1186"/>
      <c r="T972" s="1186"/>
      <c r="U972" s="1186"/>
      <c r="V972" s="1186"/>
      <c r="W972" s="1186">
        <v>13.4</v>
      </c>
      <c r="X972" s="1186">
        <v>4.8099999999999996</v>
      </c>
      <c r="Y972" s="1186">
        <v>12.4</v>
      </c>
      <c r="Z972" s="1186">
        <v>2.96</v>
      </c>
      <c r="AA972" s="1186">
        <v>17.5</v>
      </c>
      <c r="AB972" s="1186">
        <v>6.28</v>
      </c>
      <c r="AC972" s="1186">
        <v>16.2</v>
      </c>
      <c r="AD972" s="1187">
        <v>3.76</v>
      </c>
    </row>
    <row r="973" spans="1:30" x14ac:dyDescent="0.2">
      <c r="A973">
        <f t="shared" si="49"/>
        <v>24</v>
      </c>
      <c r="B973">
        <v>964</v>
      </c>
      <c r="C973" s="1078">
        <v>4</v>
      </c>
      <c r="D973" s="1077" t="s">
        <v>5102</v>
      </c>
      <c r="E973" s="1077" t="s">
        <v>4176</v>
      </c>
      <c r="F973" s="1185">
        <v>1</v>
      </c>
      <c r="G973" s="1186"/>
      <c r="H973" s="1186"/>
      <c r="I973" s="1186"/>
      <c r="J973" s="1186"/>
      <c r="K973" s="1186"/>
      <c r="L973" s="1186"/>
      <c r="M973" s="1186"/>
      <c r="N973" s="1186"/>
      <c r="O973" s="1186"/>
      <c r="P973" s="1186"/>
      <c r="Q973" s="1186"/>
      <c r="R973" s="1186"/>
      <c r="S973" s="1186"/>
      <c r="T973" s="1186"/>
      <c r="U973" s="1186"/>
      <c r="V973" s="1186"/>
      <c r="W973" s="1186">
        <v>17.2</v>
      </c>
      <c r="X973" s="1186">
        <v>4.72</v>
      </c>
      <c r="Y973" s="1186">
        <v>16.3</v>
      </c>
      <c r="Z973" s="1186">
        <v>3.01</v>
      </c>
      <c r="AA973" s="1186">
        <v>22.3</v>
      </c>
      <c r="AB973" s="1186">
        <v>5.88</v>
      </c>
      <c r="AC973" s="1186">
        <v>20.3</v>
      </c>
      <c r="AD973" s="1187">
        <v>3.59</v>
      </c>
    </row>
    <row r="974" spans="1:30" x14ac:dyDescent="0.2">
      <c r="A974">
        <f t="shared" si="49"/>
        <v>24</v>
      </c>
      <c r="B974">
        <v>965</v>
      </c>
      <c r="C974" s="1078">
        <v>4</v>
      </c>
      <c r="D974" s="1077" t="s">
        <v>5102</v>
      </c>
      <c r="E974" s="1077" t="s">
        <v>4658</v>
      </c>
      <c r="F974" s="1185">
        <v>1</v>
      </c>
      <c r="G974" s="1186"/>
      <c r="H974" s="1186"/>
      <c r="I974" s="1186"/>
      <c r="J974" s="1186"/>
      <c r="K974" s="1186"/>
      <c r="L974" s="1186"/>
      <c r="M974" s="1186"/>
      <c r="N974" s="1186"/>
      <c r="O974" s="1186"/>
      <c r="P974" s="1186"/>
      <c r="Q974" s="1186"/>
      <c r="R974" s="1186"/>
      <c r="S974" s="1186"/>
      <c r="T974" s="1186"/>
      <c r="U974" s="1186"/>
      <c r="V974" s="1186"/>
      <c r="W974" s="1186">
        <v>6.5</v>
      </c>
      <c r="X974" s="1186">
        <v>4.5</v>
      </c>
      <c r="Y974" s="1186">
        <v>6.1</v>
      </c>
      <c r="Z974" s="1186">
        <v>3.1</v>
      </c>
      <c r="AA974" s="1186">
        <v>9.1</v>
      </c>
      <c r="AB974" s="1186">
        <v>5.86</v>
      </c>
      <c r="AC974" s="1186">
        <v>8.4</v>
      </c>
      <c r="AD974" s="1187">
        <v>3.97</v>
      </c>
    </row>
    <row r="975" spans="1:30" x14ac:dyDescent="0.2">
      <c r="A975">
        <f t="shared" si="49"/>
        <v>24</v>
      </c>
      <c r="B975">
        <v>966</v>
      </c>
      <c r="C975" s="1078">
        <v>4</v>
      </c>
      <c r="D975" s="1077" t="s">
        <v>5102</v>
      </c>
      <c r="E975" s="1077" t="s">
        <v>4181</v>
      </c>
      <c r="F975" s="1185">
        <v>1</v>
      </c>
      <c r="G975" s="1186"/>
      <c r="H975" s="1186"/>
      <c r="I975" s="1186"/>
      <c r="J975" s="1186"/>
      <c r="K975" s="1186"/>
      <c r="L975" s="1186"/>
      <c r="M975" s="1186"/>
      <c r="N975" s="1186"/>
      <c r="O975" s="1186"/>
      <c r="P975" s="1186"/>
      <c r="Q975" s="1186"/>
      <c r="R975" s="1186"/>
      <c r="S975" s="1186"/>
      <c r="T975" s="1186"/>
      <c r="U975" s="1186"/>
      <c r="V975" s="1186"/>
      <c r="W975" s="1186">
        <v>9.1</v>
      </c>
      <c r="X975" s="1186">
        <v>4.58</v>
      </c>
      <c r="Y975" s="1186">
        <v>8.5</v>
      </c>
      <c r="Z975" s="1186">
        <v>3.15</v>
      </c>
      <c r="AA975" s="1186">
        <v>12.8</v>
      </c>
      <c r="AB975" s="1186">
        <v>5.96</v>
      </c>
      <c r="AC975" s="1186">
        <v>11.8</v>
      </c>
      <c r="AD975" s="1187">
        <v>4.01</v>
      </c>
    </row>
    <row r="976" spans="1:30" x14ac:dyDescent="0.2">
      <c r="A976">
        <f t="shared" si="49"/>
        <v>24</v>
      </c>
      <c r="B976">
        <v>967</v>
      </c>
      <c r="C976" s="1078">
        <v>4</v>
      </c>
      <c r="D976" s="1077" t="s">
        <v>5102</v>
      </c>
      <c r="E976" s="1077" t="s">
        <v>4177</v>
      </c>
      <c r="F976" s="1185">
        <v>2</v>
      </c>
      <c r="G976" s="1186"/>
      <c r="H976" s="1186"/>
      <c r="I976" s="1186"/>
      <c r="J976" s="1186"/>
      <c r="K976" s="1186"/>
      <c r="L976" s="1186"/>
      <c r="M976" s="1186"/>
      <c r="N976" s="1186"/>
      <c r="O976" s="1186"/>
      <c r="P976" s="1186"/>
      <c r="Q976" s="1186"/>
      <c r="R976" s="1186"/>
      <c r="S976" s="1186"/>
      <c r="T976" s="1186"/>
      <c r="U976" s="1186"/>
      <c r="V976" s="1186"/>
      <c r="W976" s="1186">
        <v>20.399999999999999</v>
      </c>
      <c r="X976" s="1186">
        <v>4.9000000000000004</v>
      </c>
      <c r="Y976" s="1186">
        <v>18.8</v>
      </c>
      <c r="Z976" s="1186">
        <v>2.8</v>
      </c>
      <c r="AA976" s="1186">
        <v>27.3</v>
      </c>
      <c r="AB976" s="1186">
        <v>6.5</v>
      </c>
      <c r="AC976" s="1186">
        <v>24.5</v>
      </c>
      <c r="AD976" s="1187">
        <v>3.6</v>
      </c>
    </row>
    <row r="977" spans="1:30" x14ac:dyDescent="0.2">
      <c r="A977">
        <f t="shared" si="49"/>
        <v>24</v>
      </c>
      <c r="B977">
        <v>968</v>
      </c>
      <c r="C977" s="1078">
        <v>4</v>
      </c>
      <c r="D977" s="1077" t="s">
        <v>5102</v>
      </c>
      <c r="E977" s="1077" t="s">
        <v>4178</v>
      </c>
      <c r="F977" s="1185">
        <v>2</v>
      </c>
      <c r="G977" s="1186"/>
      <c r="H977" s="1186"/>
      <c r="I977" s="1186"/>
      <c r="J977" s="1186"/>
      <c r="K977" s="1186"/>
      <c r="L977" s="1186"/>
      <c r="M977" s="1186"/>
      <c r="N977" s="1186"/>
      <c r="O977" s="1186"/>
      <c r="P977" s="1186"/>
      <c r="Q977" s="1186"/>
      <c r="R977" s="1186"/>
      <c r="S977" s="1186"/>
      <c r="T977" s="1186"/>
      <c r="U977" s="1186"/>
      <c r="V977" s="1186"/>
      <c r="W977" s="1186">
        <v>26.2</v>
      </c>
      <c r="X977" s="1186">
        <v>4.8</v>
      </c>
      <c r="Y977" s="1186">
        <v>24.2</v>
      </c>
      <c r="Z977" s="1186">
        <v>2.8</v>
      </c>
      <c r="AA977" s="1186">
        <v>35.1</v>
      </c>
      <c r="AB977" s="1186">
        <v>6.4</v>
      </c>
      <c r="AC977" s="1186">
        <v>31.4</v>
      </c>
      <c r="AD977" s="1187">
        <v>3.5</v>
      </c>
    </row>
    <row r="978" spans="1:30" x14ac:dyDescent="0.2">
      <c r="A978">
        <f t="shared" si="49"/>
        <v>24</v>
      </c>
      <c r="B978">
        <v>969</v>
      </c>
      <c r="C978" s="1078">
        <v>4</v>
      </c>
      <c r="D978" s="1077" t="s">
        <v>5102</v>
      </c>
      <c r="E978" s="1077" t="s">
        <v>4179</v>
      </c>
      <c r="F978" s="1185">
        <v>2</v>
      </c>
      <c r="G978" s="1186"/>
      <c r="H978" s="1186"/>
      <c r="I978" s="1186"/>
      <c r="J978" s="1186"/>
      <c r="K978" s="1186"/>
      <c r="L978" s="1186"/>
      <c r="M978" s="1186"/>
      <c r="N978" s="1186"/>
      <c r="O978" s="1186"/>
      <c r="P978" s="1186"/>
      <c r="Q978" s="1186"/>
      <c r="R978" s="1186"/>
      <c r="S978" s="1186"/>
      <c r="T978" s="1186"/>
      <c r="U978" s="1186"/>
      <c r="V978" s="1186"/>
      <c r="W978" s="1186">
        <v>35.299999999999997</v>
      </c>
      <c r="X978" s="1186">
        <v>5</v>
      </c>
      <c r="Y978" s="1186">
        <v>33.299999999999997</v>
      </c>
      <c r="Z978" s="1186">
        <v>3.1</v>
      </c>
      <c r="AA978" s="1186">
        <v>46.4</v>
      </c>
      <c r="AB978" s="1186">
        <v>6.4</v>
      </c>
      <c r="AC978" s="1186">
        <v>43.6</v>
      </c>
      <c r="AD978" s="1187">
        <v>3.9</v>
      </c>
    </row>
    <row r="979" spans="1:30" x14ac:dyDescent="0.2">
      <c r="A979">
        <f t="shared" si="49"/>
        <v>24</v>
      </c>
      <c r="B979">
        <v>970</v>
      </c>
      <c r="C979" s="1078">
        <v>4</v>
      </c>
      <c r="D979" s="1077" t="s">
        <v>5102</v>
      </c>
      <c r="E979" s="1077" t="s">
        <v>4180</v>
      </c>
      <c r="F979" s="1185">
        <v>2</v>
      </c>
      <c r="G979" s="1186"/>
      <c r="H979" s="1186"/>
      <c r="I979" s="1186"/>
      <c r="J979" s="1186"/>
      <c r="K979" s="1186"/>
      <c r="L979" s="1186"/>
      <c r="M979" s="1186"/>
      <c r="N979" s="1186"/>
      <c r="O979" s="1186"/>
      <c r="P979" s="1186"/>
      <c r="Q979" s="1186"/>
      <c r="R979" s="1186"/>
      <c r="S979" s="1186"/>
      <c r="T979" s="1186"/>
      <c r="U979" s="1186"/>
      <c r="V979" s="1186"/>
      <c r="W979" s="1186">
        <v>42</v>
      </c>
      <c r="X979" s="1186">
        <v>4.8</v>
      </c>
      <c r="Y979" s="1186">
        <v>37.9</v>
      </c>
      <c r="Z979" s="1186">
        <v>2.7</v>
      </c>
      <c r="AA979" s="1186">
        <v>55.4</v>
      </c>
      <c r="AB979" s="1186">
        <v>6.1</v>
      </c>
      <c r="AC979" s="1186">
        <v>49.9</v>
      </c>
      <c r="AD979" s="1187">
        <v>3.5</v>
      </c>
    </row>
    <row r="980" spans="1:30" x14ac:dyDescent="0.2">
      <c r="A980">
        <f t="shared" si="49"/>
        <v>24</v>
      </c>
      <c r="B980">
        <v>971</v>
      </c>
      <c r="C980" s="1078">
        <v>4</v>
      </c>
      <c r="D980" s="1077" t="s">
        <v>5102</v>
      </c>
      <c r="E980" s="1077" t="s">
        <v>4659</v>
      </c>
      <c r="F980" s="1185">
        <v>2</v>
      </c>
      <c r="G980" s="1186"/>
      <c r="H980" s="1186"/>
      <c r="I980" s="1186"/>
      <c r="J980" s="1186"/>
      <c r="K980" s="1186"/>
      <c r="L980" s="1186"/>
      <c r="M980" s="1186"/>
      <c r="N980" s="1186"/>
      <c r="O980" s="1186"/>
      <c r="P980" s="1186"/>
      <c r="Q980" s="1186"/>
      <c r="R980" s="1186"/>
      <c r="S980" s="1186"/>
      <c r="T980" s="1186"/>
      <c r="U980" s="1186"/>
      <c r="V980" s="1186"/>
      <c r="W980" s="1186">
        <v>12.3</v>
      </c>
      <c r="X980" s="1186">
        <v>4.4800000000000004</v>
      </c>
      <c r="Y980" s="1186">
        <v>10.1</v>
      </c>
      <c r="Z980" s="1186">
        <v>2.7</v>
      </c>
      <c r="AA980" s="1186">
        <v>17</v>
      </c>
      <c r="AB980" s="1186">
        <v>5.76</v>
      </c>
      <c r="AC980" s="1186">
        <v>15.1</v>
      </c>
      <c r="AD980" s="1187">
        <v>3.65</v>
      </c>
    </row>
    <row r="981" spans="1:30" x14ac:dyDescent="0.2">
      <c r="A981">
        <f t="shared" si="49"/>
        <v>24</v>
      </c>
      <c r="B981">
        <v>972</v>
      </c>
      <c r="C981" s="1078">
        <v>4</v>
      </c>
      <c r="D981" s="1077" t="s">
        <v>5102</v>
      </c>
      <c r="E981" s="1077" t="s">
        <v>4660</v>
      </c>
      <c r="F981" s="1185">
        <v>2</v>
      </c>
      <c r="G981" s="1186"/>
      <c r="H981" s="1186"/>
      <c r="I981" s="1186"/>
      <c r="J981" s="1186"/>
      <c r="K981" s="1186"/>
      <c r="L981" s="1186"/>
      <c r="M981" s="1186"/>
      <c r="N981" s="1186"/>
      <c r="O981" s="1186"/>
      <c r="P981" s="1186"/>
      <c r="Q981" s="1186"/>
      <c r="R981" s="1186"/>
      <c r="S981" s="1186"/>
      <c r="T981" s="1186"/>
      <c r="U981" s="1186"/>
      <c r="V981" s="1186"/>
      <c r="W981" s="1186">
        <v>18</v>
      </c>
      <c r="X981" s="1186">
        <v>4.42</v>
      </c>
      <c r="Y981" s="1186">
        <v>15.3</v>
      </c>
      <c r="Z981" s="1186">
        <v>2.83</v>
      </c>
      <c r="AA981" s="1186">
        <v>27.7</v>
      </c>
      <c r="AB981" s="1186">
        <v>5.61</v>
      </c>
      <c r="AC981" s="1186">
        <v>21.8</v>
      </c>
      <c r="AD981" s="1187">
        <v>3.69</v>
      </c>
    </row>
    <row r="982" spans="1:30" x14ac:dyDescent="0.2">
      <c r="A982">
        <f t="shared" si="49"/>
        <v>24</v>
      </c>
      <c r="B982">
        <v>973</v>
      </c>
      <c r="C982" s="1078">
        <v>4</v>
      </c>
      <c r="D982" s="1077" t="s">
        <v>5102</v>
      </c>
      <c r="E982" s="1077" t="s">
        <v>4661</v>
      </c>
      <c r="F982" s="1185">
        <v>2</v>
      </c>
      <c r="G982" s="1186"/>
      <c r="H982" s="1186"/>
      <c r="I982" s="1186"/>
      <c r="J982" s="1186"/>
      <c r="K982" s="1186"/>
      <c r="L982" s="1186"/>
      <c r="M982" s="1186"/>
      <c r="N982" s="1186"/>
      <c r="O982" s="1186"/>
      <c r="P982" s="1186"/>
      <c r="Q982" s="1186"/>
      <c r="R982" s="1186"/>
      <c r="S982" s="1186"/>
      <c r="T982" s="1186"/>
      <c r="U982" s="1186"/>
      <c r="V982" s="1186"/>
      <c r="W982" s="1186">
        <v>20.9</v>
      </c>
      <c r="X982" s="1186">
        <v>4.58</v>
      </c>
      <c r="Y982" s="1186">
        <v>17.2</v>
      </c>
      <c r="Z982" s="1186">
        <v>2.76</v>
      </c>
      <c r="AA982" s="1186">
        <v>28.8</v>
      </c>
      <c r="AB982" s="1186">
        <v>5.89</v>
      </c>
      <c r="AC982" s="1186">
        <v>25.5</v>
      </c>
      <c r="AD982" s="1187">
        <v>3.73</v>
      </c>
    </row>
    <row r="983" spans="1:30" x14ac:dyDescent="0.2">
      <c r="A983">
        <f t="shared" si="49"/>
        <v>24</v>
      </c>
      <c r="B983">
        <v>974</v>
      </c>
      <c r="C983" s="1078">
        <v>4</v>
      </c>
      <c r="D983" s="1077" t="s">
        <v>5102</v>
      </c>
      <c r="E983" s="1077" t="s">
        <v>4662</v>
      </c>
      <c r="F983" s="1185">
        <v>2</v>
      </c>
      <c r="G983" s="1186"/>
      <c r="H983" s="1186"/>
      <c r="I983" s="1186"/>
      <c r="J983" s="1186"/>
      <c r="K983" s="1186"/>
      <c r="L983" s="1186"/>
      <c r="M983" s="1186"/>
      <c r="N983" s="1186"/>
      <c r="O983" s="1186"/>
      <c r="P983" s="1186"/>
      <c r="Q983" s="1186"/>
      <c r="R983" s="1186"/>
      <c r="S983" s="1186"/>
      <c r="T983" s="1186"/>
      <c r="U983" s="1186"/>
      <c r="V983" s="1186"/>
      <c r="W983" s="1186">
        <v>57.9</v>
      </c>
      <c r="X983" s="1186">
        <v>4.63</v>
      </c>
      <c r="Y983" s="1186">
        <v>52.5</v>
      </c>
      <c r="Z983" s="1186">
        <v>2.8</v>
      </c>
      <c r="AA983" s="1186">
        <v>76.900000000000006</v>
      </c>
      <c r="AB983" s="1186">
        <v>6.07</v>
      </c>
      <c r="AC983" s="1186">
        <v>70.2</v>
      </c>
      <c r="AD983" s="1187">
        <v>3.73</v>
      </c>
    </row>
    <row r="984" spans="1:30" x14ac:dyDescent="0.2">
      <c r="A984">
        <f t="shared" si="49"/>
        <v>24</v>
      </c>
      <c r="B984">
        <v>975</v>
      </c>
      <c r="C984" s="1078">
        <v>4</v>
      </c>
      <c r="D984" s="1077" t="s">
        <v>5102</v>
      </c>
      <c r="E984" s="1077" t="s">
        <v>4663</v>
      </c>
      <c r="F984" s="1185">
        <v>2</v>
      </c>
      <c r="G984" s="1186"/>
      <c r="H984" s="1186"/>
      <c r="I984" s="1186"/>
      <c r="J984" s="1186"/>
      <c r="K984" s="1186"/>
      <c r="L984" s="1186"/>
      <c r="M984" s="1186"/>
      <c r="N984" s="1186"/>
      <c r="O984" s="1186"/>
      <c r="P984" s="1186"/>
      <c r="Q984" s="1186"/>
      <c r="R984" s="1186"/>
      <c r="S984" s="1186"/>
      <c r="T984" s="1186"/>
      <c r="U984" s="1186"/>
      <c r="V984" s="1186"/>
      <c r="W984" s="1186">
        <v>73.2</v>
      </c>
      <c r="X984" s="1186">
        <v>4.5999999999999996</v>
      </c>
      <c r="Y984" s="1186">
        <v>70</v>
      </c>
      <c r="Z984" s="1186">
        <v>2.9</v>
      </c>
      <c r="AA984" s="1186">
        <v>97.2</v>
      </c>
      <c r="AB984" s="1186">
        <v>5.87</v>
      </c>
      <c r="AC984" s="1186">
        <v>89.7</v>
      </c>
      <c r="AD984" s="1187">
        <v>3.64</v>
      </c>
    </row>
    <row r="985" spans="1:30" x14ac:dyDescent="0.2">
      <c r="A985">
        <f t="shared" si="49"/>
        <v>24</v>
      </c>
      <c r="B985">
        <v>976</v>
      </c>
      <c r="C985" s="1078">
        <v>4</v>
      </c>
      <c r="D985" s="1077" t="s">
        <v>5102</v>
      </c>
      <c r="E985" s="1077" t="s">
        <v>4664</v>
      </c>
      <c r="F985" s="1185">
        <v>2</v>
      </c>
      <c r="G985" s="1186"/>
      <c r="H985" s="1186"/>
      <c r="I985" s="1186"/>
      <c r="J985" s="1186"/>
      <c r="K985" s="1186"/>
      <c r="L985" s="1186"/>
      <c r="M985" s="1186"/>
      <c r="N985" s="1186"/>
      <c r="O985" s="1186"/>
      <c r="P985" s="1186"/>
      <c r="Q985" s="1186"/>
      <c r="R985" s="1186"/>
      <c r="S985" s="1186"/>
      <c r="T985" s="1186"/>
      <c r="U985" s="1186"/>
      <c r="V985" s="1186"/>
      <c r="W985" s="1186">
        <v>84.8</v>
      </c>
      <c r="X985" s="1186">
        <v>4.63</v>
      </c>
      <c r="Y985" s="1186">
        <v>80.599999999999994</v>
      </c>
      <c r="Z985" s="1186">
        <v>2.94</v>
      </c>
      <c r="AA985" s="1186">
        <v>112.8</v>
      </c>
      <c r="AB985" s="1186">
        <v>5.91</v>
      </c>
      <c r="AC985" s="1186">
        <v>102.2</v>
      </c>
      <c r="AD985" s="1187">
        <v>3.66</v>
      </c>
    </row>
    <row r="986" spans="1:30" x14ac:dyDescent="0.2">
      <c r="A986">
        <f t="shared" si="49"/>
        <v>24</v>
      </c>
      <c r="B986">
        <v>977</v>
      </c>
      <c r="C986" s="1078">
        <v>4</v>
      </c>
      <c r="D986" s="1077" t="s">
        <v>5102</v>
      </c>
      <c r="E986" s="1077" t="s">
        <v>4665</v>
      </c>
      <c r="F986" s="1185">
        <v>2</v>
      </c>
      <c r="G986" s="1186"/>
      <c r="H986" s="1186"/>
      <c r="I986" s="1186"/>
      <c r="J986" s="1186"/>
      <c r="K986" s="1186"/>
      <c r="L986" s="1186"/>
      <c r="M986" s="1186"/>
      <c r="N986" s="1186"/>
      <c r="O986" s="1186"/>
      <c r="P986" s="1186"/>
      <c r="Q986" s="1186"/>
      <c r="R986" s="1186"/>
      <c r="S986" s="1186"/>
      <c r="T986" s="1186"/>
      <c r="U986" s="1186"/>
      <c r="V986" s="1186"/>
      <c r="W986" s="1186">
        <v>113.4</v>
      </c>
      <c r="X986" s="1186">
        <v>4.62</v>
      </c>
      <c r="Y986" s="1186">
        <v>107.4</v>
      </c>
      <c r="Z986" s="1186">
        <v>2.92</v>
      </c>
      <c r="AA986" s="1186">
        <v>149.1</v>
      </c>
      <c r="AB986" s="1186">
        <v>5.73</v>
      </c>
      <c r="AC986" s="1186">
        <v>136.9</v>
      </c>
      <c r="AD986" s="1187">
        <v>3.62</v>
      </c>
    </row>
    <row r="987" spans="1:30" x14ac:dyDescent="0.2">
      <c r="A987">
        <f t="shared" si="49"/>
        <v>24</v>
      </c>
      <c r="B987">
        <v>978</v>
      </c>
      <c r="C987" s="1078">
        <v>4</v>
      </c>
      <c r="D987" s="1077" t="s">
        <v>5102</v>
      </c>
      <c r="E987" s="1077" t="s">
        <v>4666</v>
      </c>
      <c r="F987" s="1185">
        <v>2</v>
      </c>
      <c r="G987" s="1186"/>
      <c r="H987" s="1186"/>
      <c r="I987" s="1186"/>
      <c r="J987" s="1186"/>
      <c r="K987" s="1186"/>
      <c r="L987" s="1186"/>
      <c r="M987" s="1186"/>
      <c r="N987" s="1186"/>
      <c r="O987" s="1186"/>
      <c r="P987" s="1186"/>
      <c r="Q987" s="1186"/>
      <c r="R987" s="1186"/>
      <c r="S987" s="1186"/>
      <c r="T987" s="1186"/>
      <c r="U987" s="1186"/>
      <c r="V987" s="1186"/>
      <c r="W987" s="1186">
        <v>137.80000000000001</v>
      </c>
      <c r="X987" s="1186">
        <v>4.6100000000000003</v>
      </c>
      <c r="Y987" s="1186">
        <v>127.8</v>
      </c>
      <c r="Z987" s="1186">
        <v>2.91</v>
      </c>
      <c r="AA987" s="1186">
        <v>181.1</v>
      </c>
      <c r="AB987" s="1186">
        <v>5.79</v>
      </c>
      <c r="AC987" s="1186">
        <v>164.3</v>
      </c>
      <c r="AD987" s="1187">
        <v>3.61</v>
      </c>
    </row>
    <row r="988" spans="1:30" x14ac:dyDescent="0.2">
      <c r="A988">
        <f t="shared" si="49"/>
        <v>24</v>
      </c>
      <c r="B988">
        <v>979</v>
      </c>
      <c r="C988" s="1078">
        <v>4</v>
      </c>
      <c r="D988" s="1077" t="s">
        <v>5102</v>
      </c>
      <c r="E988" s="1077" t="s">
        <v>4667</v>
      </c>
      <c r="F988" s="1185">
        <v>2</v>
      </c>
      <c r="G988" s="1186"/>
      <c r="H988" s="1186"/>
      <c r="I988" s="1186"/>
      <c r="J988" s="1186"/>
      <c r="K988" s="1186"/>
      <c r="L988" s="1186"/>
      <c r="M988" s="1186"/>
      <c r="N988" s="1186"/>
      <c r="O988" s="1186"/>
      <c r="P988" s="1186"/>
      <c r="Q988" s="1186"/>
      <c r="R988" s="1186"/>
      <c r="S988" s="1186"/>
      <c r="T988" s="1186"/>
      <c r="U988" s="1186"/>
      <c r="V988" s="1186"/>
      <c r="W988" s="1186">
        <v>35</v>
      </c>
      <c r="X988" s="1186">
        <v>4.32</v>
      </c>
      <c r="Y988" s="1186">
        <v>32.200000000000003</v>
      </c>
      <c r="Z988" s="1186">
        <v>2.74</v>
      </c>
      <c r="AA988" s="1186">
        <v>49.3</v>
      </c>
      <c r="AB988" s="1186">
        <v>5.99</v>
      </c>
      <c r="AC988" s="1186">
        <v>44.8</v>
      </c>
      <c r="AD988" s="1187">
        <v>3.58</v>
      </c>
    </row>
    <row r="989" spans="1:30" x14ac:dyDescent="0.2">
      <c r="A989">
        <f t="shared" si="49"/>
        <v>24</v>
      </c>
      <c r="B989">
        <v>980</v>
      </c>
      <c r="C989" s="1078">
        <v>4</v>
      </c>
      <c r="D989" s="1077" t="s">
        <v>5102</v>
      </c>
      <c r="E989" s="1077" t="s">
        <v>4668</v>
      </c>
      <c r="F989" s="1185">
        <v>2</v>
      </c>
      <c r="G989" s="1186"/>
      <c r="H989" s="1186"/>
      <c r="I989" s="1186"/>
      <c r="J989" s="1186"/>
      <c r="K989" s="1186"/>
      <c r="L989" s="1186"/>
      <c r="M989" s="1186"/>
      <c r="N989" s="1186"/>
      <c r="O989" s="1186"/>
      <c r="P989" s="1186"/>
      <c r="Q989" s="1186"/>
      <c r="R989" s="1186"/>
      <c r="S989" s="1186"/>
      <c r="T989" s="1186"/>
      <c r="U989" s="1186"/>
      <c r="V989" s="1186"/>
      <c r="W989" s="1186">
        <v>52.5</v>
      </c>
      <c r="X989" s="1186">
        <v>4.38</v>
      </c>
      <c r="Y989" s="1186">
        <v>51.3</v>
      </c>
      <c r="Z989" s="1186">
        <v>2.84</v>
      </c>
      <c r="AA989" s="1186">
        <v>71.8</v>
      </c>
      <c r="AB989" s="1186">
        <v>5.81</v>
      </c>
      <c r="AC989" s="1186">
        <v>69</v>
      </c>
      <c r="AD989" s="1187">
        <v>3.68</v>
      </c>
    </row>
    <row r="990" spans="1:30" x14ac:dyDescent="0.2">
      <c r="A990">
        <f t="shared" si="49"/>
        <v>24</v>
      </c>
      <c r="B990">
        <v>981</v>
      </c>
      <c r="C990" s="1078">
        <v>4</v>
      </c>
      <c r="D990" s="1077" t="s">
        <v>5102</v>
      </c>
      <c r="E990" s="1077" t="s">
        <v>4669</v>
      </c>
      <c r="F990" s="1185">
        <v>2</v>
      </c>
      <c r="G990" s="1186"/>
      <c r="H990" s="1186"/>
      <c r="I990" s="1186"/>
      <c r="J990" s="1186"/>
      <c r="K990" s="1186"/>
      <c r="L990" s="1186"/>
      <c r="M990" s="1186"/>
      <c r="N990" s="1186"/>
      <c r="O990" s="1186"/>
      <c r="P990" s="1186"/>
      <c r="Q990" s="1186"/>
      <c r="R990" s="1186"/>
      <c r="S990" s="1186"/>
      <c r="T990" s="1186"/>
      <c r="U990" s="1186"/>
      <c r="V990" s="1186"/>
      <c r="W990" s="1186">
        <v>71</v>
      </c>
      <c r="X990" s="1186">
        <v>4.34</v>
      </c>
      <c r="Y990" s="1186">
        <v>69.5</v>
      </c>
      <c r="Z990" s="1186">
        <v>2.75</v>
      </c>
      <c r="AA990" s="1186">
        <v>97.1</v>
      </c>
      <c r="AB990" s="1186">
        <v>5.76</v>
      </c>
      <c r="AC990" s="1186">
        <v>94.1</v>
      </c>
      <c r="AD990" s="1187">
        <v>3.63</v>
      </c>
    </row>
    <row r="991" spans="1:30" x14ac:dyDescent="0.2">
      <c r="A991">
        <f t="shared" si="49"/>
        <v>24</v>
      </c>
      <c r="B991">
        <v>982</v>
      </c>
      <c r="C991" s="1078">
        <v>4</v>
      </c>
      <c r="D991" s="1077" t="s">
        <v>5102</v>
      </c>
      <c r="E991" s="1077" t="s">
        <v>4670</v>
      </c>
      <c r="F991" s="1185">
        <v>2</v>
      </c>
      <c r="G991" s="1186"/>
      <c r="H991" s="1186"/>
      <c r="I991" s="1186"/>
      <c r="J991" s="1186"/>
      <c r="K991" s="1186"/>
      <c r="L991" s="1186"/>
      <c r="M991" s="1186"/>
      <c r="N991" s="1186"/>
      <c r="O991" s="1186"/>
      <c r="P991" s="1186"/>
      <c r="Q991" s="1186"/>
      <c r="R991" s="1186"/>
      <c r="S991" s="1186"/>
      <c r="T991" s="1186"/>
      <c r="U991" s="1186"/>
      <c r="V991" s="1186"/>
      <c r="W991" s="1186">
        <v>87.4</v>
      </c>
      <c r="X991" s="1186">
        <v>4.3</v>
      </c>
      <c r="Y991" s="1186">
        <v>83.5</v>
      </c>
      <c r="Z991" s="1186">
        <v>2.74</v>
      </c>
      <c r="AA991" s="1186">
        <v>119.5</v>
      </c>
      <c r="AB991" s="1186">
        <v>5.66</v>
      </c>
      <c r="AC991" s="1186">
        <v>115.4</v>
      </c>
      <c r="AD991" s="1187">
        <v>3.58</v>
      </c>
    </row>
    <row r="992" spans="1:30" x14ac:dyDescent="0.2">
      <c r="A992">
        <f t="shared" si="49"/>
        <v>24</v>
      </c>
      <c r="B992">
        <v>983</v>
      </c>
      <c r="C992" s="1078">
        <v>2</v>
      </c>
      <c r="D992" s="1077" t="s">
        <v>5102</v>
      </c>
      <c r="E992" s="1077" t="s">
        <v>5380</v>
      </c>
      <c r="F992" s="1185">
        <v>4</v>
      </c>
      <c r="G992" s="1186">
        <v>9.4</v>
      </c>
      <c r="H992" s="1186">
        <v>2.5</v>
      </c>
      <c r="I992" s="1186">
        <v>10.7</v>
      </c>
      <c r="J992" s="1186">
        <v>3.1</v>
      </c>
      <c r="K992" s="1186">
        <v>8.6</v>
      </c>
      <c r="L992" s="1186">
        <v>3.3</v>
      </c>
      <c r="M992" s="1186">
        <v>9.8000000000000007</v>
      </c>
      <c r="N992" s="1186">
        <v>4.5</v>
      </c>
      <c r="O992" s="1186">
        <v>9.9</v>
      </c>
      <c r="P992" s="1186">
        <v>7.2</v>
      </c>
      <c r="Q992" s="1186">
        <v>11</v>
      </c>
      <c r="R992" s="1186">
        <v>2.2999999999999998</v>
      </c>
      <c r="S992" s="1186">
        <v>10.4</v>
      </c>
      <c r="T992" s="1186">
        <v>3.1</v>
      </c>
      <c r="U992" s="1186">
        <v>9.5</v>
      </c>
      <c r="V992" s="1186">
        <v>4.0999999999999996</v>
      </c>
      <c r="W992" s="1186"/>
      <c r="X992" s="1186"/>
      <c r="Y992" s="1186"/>
      <c r="Z992" s="1186"/>
      <c r="AA992" s="1186"/>
      <c r="AB992" s="1186"/>
      <c r="AC992" s="1186"/>
      <c r="AD992" s="1187"/>
    </row>
    <row r="993" spans="1:30" x14ac:dyDescent="0.2">
      <c r="A993">
        <f t="shared" si="49"/>
        <v>24</v>
      </c>
      <c r="B993">
        <v>984</v>
      </c>
      <c r="C993" s="1078">
        <v>2</v>
      </c>
      <c r="D993" s="1077" t="s">
        <v>5102</v>
      </c>
      <c r="E993" s="1077" t="s">
        <v>5381</v>
      </c>
      <c r="F993" s="1185">
        <v>4</v>
      </c>
      <c r="G993" s="1186">
        <v>11.2</v>
      </c>
      <c r="H993" s="1186">
        <v>2.5</v>
      </c>
      <c r="I993" s="1186">
        <v>12.7</v>
      </c>
      <c r="J993" s="1186">
        <v>3</v>
      </c>
      <c r="K993" s="1186">
        <v>10.199999999999999</v>
      </c>
      <c r="L993" s="1186">
        <v>3.3</v>
      </c>
      <c r="M993" s="1186">
        <v>11.6</v>
      </c>
      <c r="N993" s="1186">
        <v>4.5</v>
      </c>
      <c r="O993" s="1186">
        <v>11.8</v>
      </c>
      <c r="P993" s="1186">
        <v>7.2</v>
      </c>
      <c r="Q993" s="1186">
        <v>13.1</v>
      </c>
      <c r="R993" s="1186">
        <v>2.2999999999999998</v>
      </c>
      <c r="S993" s="1186">
        <v>12.4</v>
      </c>
      <c r="T993" s="1186">
        <v>3.1</v>
      </c>
      <c r="U993" s="1186">
        <v>11.4</v>
      </c>
      <c r="V993" s="1186">
        <v>4.0999999999999996</v>
      </c>
      <c r="W993" s="1186"/>
      <c r="X993" s="1186"/>
      <c r="Y993" s="1186"/>
      <c r="Z993" s="1186"/>
      <c r="AA993" s="1186"/>
      <c r="AB993" s="1186"/>
      <c r="AC993" s="1186"/>
      <c r="AD993" s="1187"/>
    </row>
    <row r="994" spans="1:30" x14ac:dyDescent="0.2">
      <c r="A994">
        <f t="shared" si="49"/>
        <v>25</v>
      </c>
      <c r="B994">
        <v>985</v>
      </c>
      <c r="C994" s="1078">
        <v>2</v>
      </c>
      <c r="D994" s="1077" t="s">
        <v>5382</v>
      </c>
      <c r="E994" s="1077" t="s">
        <v>5383</v>
      </c>
      <c r="F994" s="1185">
        <v>1</v>
      </c>
      <c r="G994" s="1186">
        <v>5.7</v>
      </c>
      <c r="H994" s="1186">
        <v>2.2000000000000002</v>
      </c>
      <c r="I994" s="1186">
        <v>7.1</v>
      </c>
      <c r="J994" s="1186">
        <v>3.1</v>
      </c>
      <c r="K994" s="1186">
        <v>9.4</v>
      </c>
      <c r="L994" s="1186">
        <v>4</v>
      </c>
      <c r="M994" s="1186">
        <v>11.5</v>
      </c>
      <c r="N994" s="1186">
        <v>4.8</v>
      </c>
      <c r="O994" s="1186">
        <v>14.3</v>
      </c>
      <c r="P994" s="1186">
        <v>6</v>
      </c>
      <c r="Q994" s="1186">
        <v>6.5</v>
      </c>
      <c r="R994" s="1186">
        <v>2</v>
      </c>
      <c r="S994" s="1186">
        <v>10.3</v>
      </c>
      <c r="T994" s="1186">
        <v>3.1</v>
      </c>
      <c r="U994" s="1186">
        <v>12.9</v>
      </c>
      <c r="V994" s="1186">
        <v>3.6</v>
      </c>
      <c r="W994" s="1186"/>
      <c r="X994" s="1186"/>
      <c r="Y994" s="1186"/>
      <c r="Z994" s="1186"/>
      <c r="AA994" s="1186"/>
      <c r="AB994" s="1186"/>
      <c r="AC994" s="1186"/>
      <c r="AD994" s="1187"/>
    </row>
    <row r="995" spans="1:30" x14ac:dyDescent="0.2">
      <c r="A995">
        <f t="shared" si="49"/>
        <v>25</v>
      </c>
      <c r="B995">
        <v>986</v>
      </c>
      <c r="C995" s="1078">
        <v>2</v>
      </c>
      <c r="D995" s="1077" t="s">
        <v>5382</v>
      </c>
      <c r="E995" s="1077" t="s">
        <v>4815</v>
      </c>
      <c r="F995" s="1185">
        <v>4</v>
      </c>
      <c r="G995" s="1186">
        <v>8.6</v>
      </c>
      <c r="H995" s="1186">
        <v>2.2000000000000002</v>
      </c>
      <c r="I995" s="1186">
        <v>10.7</v>
      </c>
      <c r="J995" s="1186">
        <v>2.7</v>
      </c>
      <c r="K995" s="1186">
        <v>13.4</v>
      </c>
      <c r="L995" s="1186">
        <v>3.3</v>
      </c>
      <c r="M995" s="1186">
        <v>16.399999999999999</v>
      </c>
      <c r="N995" s="1186">
        <v>4</v>
      </c>
      <c r="O995" s="1186">
        <v>22.4</v>
      </c>
      <c r="P995" s="1186">
        <v>5.2</v>
      </c>
      <c r="Q995" s="1186">
        <v>9.1999999999999993</v>
      </c>
      <c r="R995" s="1186">
        <v>1.6</v>
      </c>
      <c r="S995" s="1186">
        <v>15.3</v>
      </c>
      <c r="T995" s="1186">
        <v>2.5</v>
      </c>
      <c r="U995" s="1186">
        <v>21.4</v>
      </c>
      <c r="V995" s="1186">
        <v>3.5</v>
      </c>
      <c r="W995" s="1186"/>
      <c r="X995" s="1186"/>
      <c r="Y995" s="1186"/>
      <c r="Z995" s="1186"/>
      <c r="AA995" s="1186"/>
      <c r="AB995" s="1186"/>
      <c r="AC995" s="1186"/>
      <c r="AD995" s="1187"/>
    </row>
    <row r="996" spans="1:30" x14ac:dyDescent="0.2">
      <c r="A996">
        <f t="shared" si="49"/>
        <v>25</v>
      </c>
      <c r="B996">
        <v>987</v>
      </c>
      <c r="C996" s="1078">
        <v>2</v>
      </c>
      <c r="D996" s="1077" t="s">
        <v>5382</v>
      </c>
      <c r="E996" s="1077" t="s">
        <v>5314</v>
      </c>
      <c r="F996" s="1185">
        <v>2</v>
      </c>
      <c r="G996" s="1186">
        <v>11.39</v>
      </c>
      <c r="H996" s="1186">
        <v>2.67</v>
      </c>
      <c r="I996" s="1186">
        <v>13.89</v>
      </c>
      <c r="J996" s="1186">
        <v>3.11</v>
      </c>
      <c r="K996" s="1186">
        <v>15.86</v>
      </c>
      <c r="L996" s="1186">
        <v>3.7</v>
      </c>
      <c r="M996" s="1186">
        <v>11.67</v>
      </c>
      <c r="N996" s="1186">
        <v>5.04</v>
      </c>
      <c r="O996" s="1186">
        <v>13.57</v>
      </c>
      <c r="P996" s="1186">
        <v>5.93</v>
      </c>
      <c r="Q996" s="1186">
        <v>13.19</v>
      </c>
      <c r="R996" s="1186">
        <v>2.25</v>
      </c>
      <c r="S996" s="1186">
        <v>10.79</v>
      </c>
      <c r="T996" s="1186">
        <v>3.17</v>
      </c>
      <c r="U996" s="1186">
        <v>12.23</v>
      </c>
      <c r="V996" s="1186">
        <v>3.63</v>
      </c>
      <c r="W996" s="1186"/>
      <c r="X996" s="1186"/>
      <c r="Y996" s="1186"/>
      <c r="Z996" s="1186"/>
      <c r="AA996" s="1186"/>
      <c r="AB996" s="1186"/>
      <c r="AC996" s="1186"/>
      <c r="AD996" s="1187"/>
    </row>
    <row r="997" spans="1:30" x14ac:dyDescent="0.2">
      <c r="A997">
        <f t="shared" si="49"/>
        <v>25</v>
      </c>
      <c r="B997">
        <v>988</v>
      </c>
      <c r="C997" s="1078">
        <v>2</v>
      </c>
      <c r="D997" s="1077" t="s">
        <v>5382</v>
      </c>
      <c r="E997" s="1077" t="s">
        <v>5315</v>
      </c>
      <c r="F997" s="1185">
        <v>2</v>
      </c>
      <c r="G997" s="1186">
        <v>13.74</v>
      </c>
      <c r="H997" s="1186">
        <v>2.6</v>
      </c>
      <c r="I997" s="1186">
        <v>18.350000000000001</v>
      </c>
      <c r="J997" s="1186">
        <v>3.24</v>
      </c>
      <c r="K997" s="1186">
        <v>18.63</v>
      </c>
      <c r="L997" s="1186">
        <v>3.65</v>
      </c>
      <c r="M997" s="1186">
        <v>14.17</v>
      </c>
      <c r="N997" s="1186">
        <v>4.8099999999999996</v>
      </c>
      <c r="O997" s="1186">
        <v>17.989999999999998</v>
      </c>
      <c r="P997" s="1186">
        <v>6.2</v>
      </c>
      <c r="Q997" s="1186">
        <v>18.190000000000001</v>
      </c>
      <c r="R997" s="1186">
        <v>2.31</v>
      </c>
      <c r="S997" s="1186">
        <v>13.05</v>
      </c>
      <c r="T997" s="1186">
        <v>3.08</v>
      </c>
      <c r="U997" s="1186">
        <v>16.38</v>
      </c>
      <c r="V997" s="1186">
        <v>3.86</v>
      </c>
      <c r="W997" s="1186"/>
      <c r="X997" s="1186"/>
      <c r="Y997" s="1186"/>
      <c r="Z997" s="1186"/>
      <c r="AA997" s="1186"/>
      <c r="AB997" s="1186"/>
      <c r="AC997" s="1186"/>
      <c r="AD997" s="1187"/>
    </row>
    <row r="998" spans="1:30" x14ac:dyDescent="0.2">
      <c r="A998">
        <f t="shared" si="49"/>
        <v>25</v>
      </c>
      <c r="B998">
        <v>989</v>
      </c>
      <c r="C998" s="1078">
        <v>2</v>
      </c>
      <c r="D998" s="1077" t="s">
        <v>5382</v>
      </c>
      <c r="E998" s="1077" t="s">
        <v>5384</v>
      </c>
      <c r="F998" s="1185">
        <v>4</v>
      </c>
      <c r="G998" s="1186">
        <v>9.57</v>
      </c>
      <c r="H998" s="1186">
        <v>2.4300000000000002</v>
      </c>
      <c r="I998" s="1186">
        <v>12.7</v>
      </c>
      <c r="J998" s="1186">
        <v>2.79</v>
      </c>
      <c r="K998" s="1186">
        <v>10.3</v>
      </c>
      <c r="L998" s="1186">
        <v>3.88</v>
      </c>
      <c r="M998" s="1186">
        <v>15.5</v>
      </c>
      <c r="N998" s="1186">
        <v>4.59</v>
      </c>
      <c r="O998" s="1186">
        <v>14.6</v>
      </c>
      <c r="P998" s="1186">
        <v>5.65</v>
      </c>
      <c r="Q998" s="1186">
        <v>11.3</v>
      </c>
      <c r="R998" s="1186">
        <v>2.0099999999999998</v>
      </c>
      <c r="S998" s="1186">
        <v>14.5</v>
      </c>
      <c r="T998" s="1186">
        <v>2.95</v>
      </c>
      <c r="U998" s="1186">
        <v>12.7</v>
      </c>
      <c r="V998" s="1186">
        <v>3.52</v>
      </c>
      <c r="W998" s="1186"/>
      <c r="X998" s="1186"/>
      <c r="Y998" s="1186"/>
      <c r="Z998" s="1186"/>
      <c r="AA998" s="1186"/>
      <c r="AB998" s="1186"/>
      <c r="AC998" s="1186"/>
      <c r="AD998" s="1187"/>
    </row>
    <row r="999" spans="1:30" x14ac:dyDescent="0.2">
      <c r="A999">
        <f t="shared" si="49"/>
        <v>25</v>
      </c>
      <c r="B999">
        <v>990</v>
      </c>
      <c r="C999" s="1078">
        <v>2</v>
      </c>
      <c r="D999" s="1077" t="s">
        <v>5382</v>
      </c>
      <c r="E999" s="1077" t="s">
        <v>5385</v>
      </c>
      <c r="F999" s="1185">
        <v>4</v>
      </c>
      <c r="G999" s="1186">
        <v>7.6</v>
      </c>
      <c r="H999" s="1186">
        <v>2.4</v>
      </c>
      <c r="I999" s="1186">
        <v>9.4</v>
      </c>
      <c r="J999" s="1186">
        <v>3.03</v>
      </c>
      <c r="K999" s="1186">
        <v>6.5</v>
      </c>
      <c r="L999" s="1186">
        <v>4.33</v>
      </c>
      <c r="M999" s="1186">
        <v>6.9</v>
      </c>
      <c r="N999" s="1186">
        <v>4.96</v>
      </c>
      <c r="O999" s="1186">
        <v>8.3000000000000007</v>
      </c>
      <c r="P999" s="1186">
        <v>6.2</v>
      </c>
      <c r="Q999" s="1186">
        <v>8.81</v>
      </c>
      <c r="R999" s="1186">
        <v>1.87</v>
      </c>
      <c r="S999" s="1186">
        <v>6.94</v>
      </c>
      <c r="T999" s="1186">
        <v>3.01</v>
      </c>
      <c r="U999" s="1186">
        <v>13.83</v>
      </c>
      <c r="V999" s="1186">
        <v>3.38</v>
      </c>
      <c r="W999" s="1186"/>
      <c r="X999" s="1186"/>
      <c r="Y999" s="1186"/>
      <c r="Z999" s="1186"/>
      <c r="AA999" s="1186"/>
      <c r="AB999" s="1186"/>
      <c r="AC999" s="1186"/>
      <c r="AD999" s="1187"/>
    </row>
    <row r="1000" spans="1:30" x14ac:dyDescent="0.2">
      <c r="A1000">
        <f t="shared" si="49"/>
        <v>25</v>
      </c>
      <c r="B1000">
        <v>991</v>
      </c>
      <c r="C1000" s="1078">
        <v>2</v>
      </c>
      <c r="D1000" s="1077" t="s">
        <v>5382</v>
      </c>
      <c r="E1000" s="1077" t="s">
        <v>5386</v>
      </c>
      <c r="F1000" s="1185">
        <v>1</v>
      </c>
      <c r="G1000" s="1186">
        <v>4.3</v>
      </c>
      <c r="H1000" s="1186">
        <v>2.6</v>
      </c>
      <c r="I1000" s="1186">
        <v>5.5</v>
      </c>
      <c r="J1000" s="1186">
        <v>3.2</v>
      </c>
      <c r="K1000" s="1186">
        <v>7.2</v>
      </c>
      <c r="L1000" s="1186">
        <v>4.2</v>
      </c>
      <c r="M1000" s="1186">
        <v>8.4</v>
      </c>
      <c r="N1000" s="1186">
        <v>4.8</v>
      </c>
      <c r="O1000" s="1186">
        <v>11.3</v>
      </c>
      <c r="P1000" s="1186">
        <v>6.7</v>
      </c>
      <c r="Q1000" s="1186">
        <v>5.3</v>
      </c>
      <c r="R1000" s="1186">
        <v>2.1</v>
      </c>
      <c r="S1000" s="1186">
        <v>8</v>
      </c>
      <c r="T1000" s="1186">
        <v>3.1</v>
      </c>
      <c r="U1000" s="1186">
        <v>9.5</v>
      </c>
      <c r="V1000" s="1186">
        <v>3.7</v>
      </c>
      <c r="W1000" s="1186"/>
      <c r="X1000" s="1186"/>
      <c r="Y1000" s="1186"/>
      <c r="Z1000" s="1186"/>
      <c r="AA1000" s="1186"/>
      <c r="AB1000" s="1186"/>
      <c r="AC1000" s="1186"/>
      <c r="AD1000" s="1187"/>
    </row>
    <row r="1001" spans="1:30" x14ac:dyDescent="0.2">
      <c r="A1001">
        <f t="shared" si="49"/>
        <v>25</v>
      </c>
      <c r="B1001">
        <v>992</v>
      </c>
      <c r="C1001" s="1078">
        <v>2</v>
      </c>
      <c r="D1001" s="1077" t="s">
        <v>5382</v>
      </c>
      <c r="E1001" s="1077" t="s">
        <v>5313</v>
      </c>
      <c r="F1001" s="1185">
        <v>1</v>
      </c>
      <c r="G1001" s="1186">
        <v>5.6</v>
      </c>
      <c r="H1001" s="1186">
        <v>2.4</v>
      </c>
      <c r="I1001" s="1186">
        <v>7.3</v>
      </c>
      <c r="J1001" s="1186">
        <v>3.1</v>
      </c>
      <c r="K1001" s="1186">
        <v>9.5</v>
      </c>
      <c r="L1001" s="1186">
        <v>4</v>
      </c>
      <c r="M1001" s="1186">
        <v>11.26</v>
      </c>
      <c r="N1001" s="1186">
        <v>4.72</v>
      </c>
      <c r="O1001" s="1186">
        <v>14.68</v>
      </c>
      <c r="P1001" s="1186">
        <v>5.34</v>
      </c>
      <c r="Q1001" s="1186">
        <v>7.23</v>
      </c>
      <c r="R1001" s="1186">
        <v>2.1800000000000002</v>
      </c>
      <c r="S1001" s="1186">
        <v>9.9700000000000006</v>
      </c>
      <c r="T1001" s="1186">
        <v>2.96</v>
      </c>
      <c r="U1001" s="1186">
        <v>13.1</v>
      </c>
      <c r="V1001" s="1186">
        <v>3.93</v>
      </c>
      <c r="W1001" s="1186"/>
      <c r="X1001" s="1186"/>
      <c r="Y1001" s="1186"/>
      <c r="Z1001" s="1186"/>
      <c r="AA1001" s="1186"/>
      <c r="AB1001" s="1186"/>
      <c r="AC1001" s="1186"/>
      <c r="AD1001" s="1187"/>
    </row>
    <row r="1002" spans="1:30" x14ac:dyDescent="0.2">
      <c r="A1002">
        <f t="shared" si="49"/>
        <v>25</v>
      </c>
      <c r="B1002">
        <v>993</v>
      </c>
      <c r="C1002" s="1078">
        <v>2</v>
      </c>
      <c r="D1002" s="1077" t="s">
        <v>5382</v>
      </c>
      <c r="E1002" s="1077" t="s">
        <v>5312</v>
      </c>
      <c r="F1002" s="1185">
        <v>2</v>
      </c>
      <c r="G1002" s="1186">
        <v>7.95</v>
      </c>
      <c r="H1002" s="1186">
        <v>2.52</v>
      </c>
      <c r="I1002" s="1186">
        <v>11.04</v>
      </c>
      <c r="J1002" s="1186">
        <v>3.28</v>
      </c>
      <c r="K1002" s="1186">
        <v>7.2549999999999999</v>
      </c>
      <c r="L1002" s="1186">
        <v>4.1900000000000004</v>
      </c>
      <c r="M1002" s="1186">
        <v>8.266</v>
      </c>
      <c r="N1002" s="1186">
        <v>4.8</v>
      </c>
      <c r="O1002" s="1186">
        <v>11.04</v>
      </c>
      <c r="P1002" s="1186">
        <v>6.56</v>
      </c>
      <c r="Q1002" s="1186">
        <v>10.76</v>
      </c>
      <c r="R1002" s="1186">
        <v>2.1800000000000002</v>
      </c>
      <c r="S1002" s="1186">
        <v>7.74</v>
      </c>
      <c r="T1002" s="1186">
        <v>3.11</v>
      </c>
      <c r="U1002" s="1186">
        <v>9.6999999999999993</v>
      </c>
      <c r="V1002" s="1186">
        <v>3.85</v>
      </c>
      <c r="W1002" s="1186"/>
      <c r="X1002" s="1186"/>
      <c r="Y1002" s="1186"/>
      <c r="Z1002" s="1186"/>
      <c r="AA1002" s="1186"/>
      <c r="AB1002" s="1186"/>
      <c r="AC1002" s="1186"/>
      <c r="AD1002" s="1187"/>
    </row>
    <row r="1003" spans="1:30" x14ac:dyDescent="0.2">
      <c r="A1003">
        <f t="shared" si="49"/>
        <v>25</v>
      </c>
      <c r="B1003">
        <v>994</v>
      </c>
      <c r="C1003" s="1078">
        <v>2</v>
      </c>
      <c r="D1003" s="1077" t="s">
        <v>5382</v>
      </c>
      <c r="E1003" s="1077" t="s">
        <v>5317</v>
      </c>
      <c r="F1003" s="1185">
        <v>2</v>
      </c>
      <c r="G1003" s="1186">
        <v>11.39</v>
      </c>
      <c r="H1003" s="1186">
        <v>2.67</v>
      </c>
      <c r="I1003" s="1186">
        <v>13.89</v>
      </c>
      <c r="J1003" s="1186">
        <v>3.11</v>
      </c>
      <c r="K1003" s="1186">
        <v>15.86</v>
      </c>
      <c r="L1003" s="1186">
        <v>3.7</v>
      </c>
      <c r="M1003" s="1186">
        <v>11.67</v>
      </c>
      <c r="N1003" s="1186">
        <v>5.04</v>
      </c>
      <c r="O1003" s="1186">
        <v>13.57</v>
      </c>
      <c r="P1003" s="1186">
        <v>5.93</v>
      </c>
      <c r="Q1003" s="1186">
        <v>13.19</v>
      </c>
      <c r="R1003" s="1186">
        <v>2.25</v>
      </c>
      <c r="S1003" s="1186">
        <v>10.79</v>
      </c>
      <c r="T1003" s="1186">
        <v>3.17</v>
      </c>
      <c r="U1003" s="1186">
        <v>12.23</v>
      </c>
      <c r="V1003" s="1186">
        <v>3.63</v>
      </c>
      <c r="W1003" s="1186"/>
      <c r="X1003" s="1186"/>
      <c r="Y1003" s="1186"/>
      <c r="Z1003" s="1186"/>
      <c r="AA1003" s="1186"/>
      <c r="AB1003" s="1186"/>
      <c r="AC1003" s="1186"/>
      <c r="AD1003" s="1187"/>
    </row>
    <row r="1004" spans="1:30" x14ac:dyDescent="0.2">
      <c r="A1004">
        <f t="shared" si="49"/>
        <v>25</v>
      </c>
      <c r="B1004">
        <v>995</v>
      </c>
      <c r="C1004" s="1078">
        <v>2</v>
      </c>
      <c r="D1004" s="1077" t="s">
        <v>5382</v>
      </c>
      <c r="E1004" s="1077" t="s">
        <v>4816</v>
      </c>
      <c r="F1004" s="1185">
        <v>2</v>
      </c>
      <c r="G1004" s="1186">
        <v>18.5</v>
      </c>
      <c r="H1004" s="1186">
        <v>2.78</v>
      </c>
      <c r="I1004" s="1186">
        <v>22.3</v>
      </c>
      <c r="J1004" s="1186">
        <v>3.1</v>
      </c>
      <c r="K1004" s="1186">
        <v>14.21</v>
      </c>
      <c r="L1004" s="1186">
        <v>3.59</v>
      </c>
      <c r="M1004" s="1186">
        <v>17.63</v>
      </c>
      <c r="N1004" s="1186">
        <v>4.33</v>
      </c>
      <c r="O1004" s="1186">
        <v>23.5</v>
      </c>
      <c r="P1004" s="1186">
        <v>5.35</v>
      </c>
      <c r="Q1004" s="1186">
        <v>21.8</v>
      </c>
      <c r="R1004" s="1186">
        <v>2.34</v>
      </c>
      <c r="S1004" s="1186">
        <v>17.37</v>
      </c>
      <c r="T1004" s="1186">
        <v>3.11</v>
      </c>
      <c r="U1004" s="1186">
        <v>21.73</v>
      </c>
      <c r="V1004" s="1186">
        <v>3.9</v>
      </c>
      <c r="W1004" s="1186"/>
      <c r="X1004" s="1186"/>
      <c r="Y1004" s="1186"/>
      <c r="Z1004" s="1186"/>
      <c r="AA1004" s="1186"/>
      <c r="AB1004" s="1186"/>
      <c r="AC1004" s="1186"/>
      <c r="AD1004" s="1187"/>
    </row>
    <row r="1005" spans="1:30" x14ac:dyDescent="0.2">
      <c r="A1005">
        <f t="shared" si="49"/>
        <v>25</v>
      </c>
      <c r="B1005">
        <v>996</v>
      </c>
      <c r="C1005" s="1078">
        <v>2</v>
      </c>
      <c r="D1005" s="1077" t="s">
        <v>5382</v>
      </c>
      <c r="E1005" s="1077" t="s">
        <v>4818</v>
      </c>
      <c r="F1005" s="1185">
        <v>2</v>
      </c>
      <c r="G1005" s="1186">
        <v>31.7</v>
      </c>
      <c r="H1005" s="1186">
        <v>2.6</v>
      </c>
      <c r="I1005" s="1186">
        <v>38</v>
      </c>
      <c r="J1005" s="1186">
        <v>3</v>
      </c>
      <c r="K1005" s="1186">
        <v>26.6</v>
      </c>
      <c r="L1005" s="1186">
        <v>3.6</v>
      </c>
      <c r="M1005" s="1186">
        <v>35.299999999999997</v>
      </c>
      <c r="N1005" s="1186">
        <v>4.5</v>
      </c>
      <c r="O1005" s="1186">
        <v>44.4</v>
      </c>
      <c r="P1005" s="1186">
        <v>5.25</v>
      </c>
      <c r="Q1005" s="1186">
        <v>36.799999999999997</v>
      </c>
      <c r="R1005" s="1186">
        <v>2.2999999999999998</v>
      </c>
      <c r="S1005" s="1186">
        <v>31.7</v>
      </c>
      <c r="T1005" s="1186">
        <v>3.2</v>
      </c>
      <c r="U1005" s="1186">
        <v>40.5</v>
      </c>
      <c r="V1005" s="1186">
        <v>3.9</v>
      </c>
      <c r="W1005" s="1186"/>
      <c r="X1005" s="1186"/>
      <c r="Y1005" s="1186"/>
      <c r="Z1005" s="1186"/>
      <c r="AA1005" s="1186"/>
      <c r="AB1005" s="1186"/>
      <c r="AC1005" s="1186"/>
      <c r="AD1005" s="1187"/>
    </row>
    <row r="1006" spans="1:30" x14ac:dyDescent="0.2">
      <c r="A1006">
        <f t="shared" si="49"/>
        <v>25</v>
      </c>
      <c r="B1006">
        <v>997</v>
      </c>
      <c r="C1006" s="1078">
        <v>2</v>
      </c>
      <c r="D1006" s="1077" t="s">
        <v>5382</v>
      </c>
      <c r="E1006" s="1077" t="s">
        <v>5180</v>
      </c>
      <c r="F1006" s="1185">
        <v>2</v>
      </c>
      <c r="G1006" s="1186">
        <v>16</v>
      </c>
      <c r="H1006" s="1186">
        <v>2.6</v>
      </c>
      <c r="I1006" s="1186">
        <v>19.899999999999999</v>
      </c>
      <c r="J1006" s="1186">
        <v>3.1</v>
      </c>
      <c r="K1006" s="1186">
        <v>13.3</v>
      </c>
      <c r="L1006" s="1186">
        <v>4</v>
      </c>
      <c r="M1006" s="1186">
        <v>16.2</v>
      </c>
      <c r="N1006" s="1186">
        <v>4.9000000000000004</v>
      </c>
      <c r="O1006" s="1186">
        <v>23.2</v>
      </c>
      <c r="P1006" s="1186">
        <v>6.8</v>
      </c>
      <c r="Q1006" s="1186">
        <v>19.7</v>
      </c>
      <c r="R1006" s="1186">
        <v>2.2999999999999998</v>
      </c>
      <c r="S1006" s="1186">
        <v>15.4</v>
      </c>
      <c r="T1006" s="1186">
        <v>3.4</v>
      </c>
      <c r="U1006" s="1186">
        <v>21.2</v>
      </c>
      <c r="V1006" s="1186">
        <v>4.7</v>
      </c>
      <c r="W1006" s="1186"/>
      <c r="X1006" s="1186"/>
      <c r="Y1006" s="1186"/>
      <c r="Z1006" s="1186"/>
      <c r="AA1006" s="1186"/>
      <c r="AB1006" s="1186"/>
      <c r="AC1006" s="1186"/>
      <c r="AD1006" s="1187"/>
    </row>
    <row r="1007" spans="1:30" x14ac:dyDescent="0.2">
      <c r="A1007">
        <f t="shared" si="49"/>
        <v>25</v>
      </c>
      <c r="B1007">
        <v>998</v>
      </c>
      <c r="C1007" s="1078">
        <v>4</v>
      </c>
      <c r="D1007" s="1077" t="s">
        <v>5382</v>
      </c>
      <c r="E1007" s="1077" t="s">
        <v>5316</v>
      </c>
      <c r="F1007" s="1185">
        <v>4</v>
      </c>
      <c r="G1007" s="1186">
        <v>9.4</v>
      </c>
      <c r="H1007" s="1186">
        <v>2.4</v>
      </c>
      <c r="I1007" s="1186">
        <v>11.2</v>
      </c>
      <c r="J1007" s="1186">
        <v>2.9</v>
      </c>
      <c r="K1007" s="1186">
        <v>4.9000000000000004</v>
      </c>
      <c r="L1007" s="1186">
        <v>4.5</v>
      </c>
      <c r="M1007" s="1186">
        <v>4.6500000000000004</v>
      </c>
      <c r="N1007" s="1186">
        <v>5.6</v>
      </c>
      <c r="O1007" s="1186">
        <v>5.96</v>
      </c>
      <c r="P1007" s="1186">
        <v>7.86</v>
      </c>
      <c r="Q1007" s="1186">
        <v>10.14</v>
      </c>
      <c r="R1007" s="1186">
        <v>2.0299999999999998</v>
      </c>
      <c r="S1007" s="1186">
        <v>4</v>
      </c>
      <c r="T1007" s="1186">
        <v>3.2</v>
      </c>
      <c r="U1007" s="1186">
        <v>5.31</v>
      </c>
      <c r="V1007" s="1186">
        <v>4.32</v>
      </c>
      <c r="W1007" s="1186"/>
      <c r="X1007" s="1186"/>
      <c r="Y1007" s="1186"/>
      <c r="Z1007" s="1186"/>
      <c r="AA1007" s="1186"/>
      <c r="AB1007" s="1186"/>
      <c r="AC1007" s="1186"/>
      <c r="AD1007" s="1187"/>
    </row>
    <row r="1008" spans="1:30" x14ac:dyDescent="0.2">
      <c r="A1008">
        <f t="shared" si="49"/>
        <v>25</v>
      </c>
      <c r="B1008">
        <v>999</v>
      </c>
      <c r="C1008" s="1078">
        <v>2</v>
      </c>
      <c r="D1008" s="1077" t="s">
        <v>5382</v>
      </c>
      <c r="E1008" s="1077" t="s">
        <v>5181</v>
      </c>
      <c r="F1008" s="1185">
        <v>2</v>
      </c>
      <c r="G1008" s="1186">
        <v>34.6</v>
      </c>
      <c r="H1008" s="1186">
        <v>2.7</v>
      </c>
      <c r="I1008" s="1186">
        <v>42.1</v>
      </c>
      <c r="J1008" s="1186">
        <v>3.1</v>
      </c>
      <c r="K1008" s="1186">
        <v>25.7</v>
      </c>
      <c r="L1008" s="1186">
        <v>3.9</v>
      </c>
      <c r="M1008" s="1186">
        <v>33.299999999999997</v>
      </c>
      <c r="N1008" s="1186">
        <v>4.9000000000000004</v>
      </c>
      <c r="O1008" s="1186">
        <v>42.5</v>
      </c>
      <c r="P1008" s="1186">
        <v>6.4</v>
      </c>
      <c r="Q1008" s="1186">
        <v>41.5</v>
      </c>
      <c r="R1008" s="1186">
        <v>2.2999999999999998</v>
      </c>
      <c r="S1008" s="1186">
        <v>31.8</v>
      </c>
      <c r="T1008" s="1186">
        <v>3.4</v>
      </c>
      <c r="U1008" s="1186">
        <v>37.9</v>
      </c>
      <c r="V1008" s="1186">
        <v>4.2</v>
      </c>
      <c r="W1008" s="1186"/>
      <c r="X1008" s="1186"/>
      <c r="Y1008" s="1186"/>
      <c r="Z1008" s="1186"/>
      <c r="AA1008" s="1186"/>
      <c r="AB1008" s="1186"/>
      <c r="AC1008" s="1186"/>
      <c r="AD1008" s="1187"/>
    </row>
    <row r="1009" spans="1:30" x14ac:dyDescent="0.2">
      <c r="A1009">
        <f t="shared" si="49"/>
        <v>25</v>
      </c>
      <c r="B1009">
        <v>1000</v>
      </c>
      <c r="C1009" s="1078">
        <v>2</v>
      </c>
      <c r="D1009" s="1077" t="s">
        <v>5382</v>
      </c>
      <c r="E1009" s="1077" t="s">
        <v>5674</v>
      </c>
      <c r="F1009" s="1185">
        <v>4</v>
      </c>
      <c r="G1009" s="1186">
        <v>13.14</v>
      </c>
      <c r="H1009" s="1186">
        <v>2.4700000000000002</v>
      </c>
      <c r="I1009" s="1186">
        <v>14.5</v>
      </c>
      <c r="J1009" s="1186">
        <v>2.8</v>
      </c>
      <c r="K1009" s="1186">
        <v>12.8</v>
      </c>
      <c r="L1009" s="1186">
        <v>3.4</v>
      </c>
      <c r="M1009" s="1186">
        <v>11.7</v>
      </c>
      <c r="N1009" s="1186">
        <v>5</v>
      </c>
      <c r="O1009" s="1186">
        <v>20.28</v>
      </c>
      <c r="P1009" s="1186">
        <v>5.85</v>
      </c>
      <c r="Q1009" s="1186">
        <v>14.31</v>
      </c>
      <c r="R1009" s="1186">
        <v>1.93</v>
      </c>
      <c r="S1009" s="1186">
        <v>15.5</v>
      </c>
      <c r="T1009" s="1186">
        <v>3</v>
      </c>
      <c r="U1009" s="1186">
        <v>19.010000000000002</v>
      </c>
      <c r="V1009" s="1186">
        <v>3.77</v>
      </c>
      <c r="W1009" s="1186"/>
      <c r="X1009" s="1186"/>
      <c r="Y1009" s="1186"/>
      <c r="Z1009" s="1186"/>
      <c r="AA1009" s="1186"/>
      <c r="AB1009" s="1186"/>
      <c r="AC1009" s="1186"/>
      <c r="AD1009" s="1187"/>
    </row>
    <row r="1010" spans="1:30" x14ac:dyDescent="0.2">
      <c r="A1010">
        <f t="shared" si="49"/>
        <v>25</v>
      </c>
      <c r="B1010">
        <v>1001</v>
      </c>
      <c r="C1010" s="1078">
        <v>2</v>
      </c>
      <c r="D1010" s="1077" t="s">
        <v>5382</v>
      </c>
      <c r="E1010" s="1077" t="s">
        <v>5675</v>
      </c>
      <c r="F1010" s="1185">
        <v>4</v>
      </c>
      <c r="G1010" s="1186">
        <v>18.3</v>
      </c>
      <c r="H1010" s="1186">
        <v>2.4700000000000002</v>
      </c>
      <c r="I1010" s="1186">
        <v>19.600000000000001</v>
      </c>
      <c r="J1010" s="1186">
        <v>2.8</v>
      </c>
      <c r="K1010" s="1186">
        <v>17.399999999999999</v>
      </c>
      <c r="L1010" s="1186">
        <v>3.7</v>
      </c>
      <c r="M1010" s="1186">
        <v>19</v>
      </c>
      <c r="N1010" s="1186">
        <v>5</v>
      </c>
      <c r="O1010" s="1186">
        <v>23.6</v>
      </c>
      <c r="P1010" s="1186">
        <v>6.28</v>
      </c>
      <c r="Q1010" s="1186">
        <v>21.7</v>
      </c>
      <c r="R1010" s="1186">
        <v>21.71</v>
      </c>
      <c r="S1010" s="1186">
        <v>17.52</v>
      </c>
      <c r="T1010" s="1186">
        <v>3.18</v>
      </c>
      <c r="U1010" s="1186">
        <v>21.55</v>
      </c>
      <c r="V1010" s="1186">
        <v>3.94</v>
      </c>
      <c r="W1010" s="1186"/>
      <c r="X1010" s="1186"/>
      <c r="Y1010" s="1186"/>
      <c r="Z1010" s="1186"/>
      <c r="AA1010" s="1186"/>
      <c r="AB1010" s="1186"/>
      <c r="AC1010" s="1186"/>
      <c r="AD1010" s="1187"/>
    </row>
    <row r="1011" spans="1:30" x14ac:dyDescent="0.2">
      <c r="A1011">
        <f t="shared" si="49"/>
        <v>25</v>
      </c>
      <c r="B1011">
        <v>1002</v>
      </c>
      <c r="C1011" s="1078">
        <v>2</v>
      </c>
      <c r="D1011" s="1077" t="s">
        <v>5382</v>
      </c>
      <c r="E1011" s="1077" t="s">
        <v>5676</v>
      </c>
      <c r="F1011" s="1185">
        <v>4</v>
      </c>
      <c r="G1011" s="1186">
        <v>34.799999999999997</v>
      </c>
      <c r="H1011" s="1186">
        <v>2.2999999999999998</v>
      </c>
      <c r="I1011" s="1186">
        <v>42.5</v>
      </c>
      <c r="J1011" s="1186">
        <v>2.7</v>
      </c>
      <c r="K1011" s="1186">
        <v>35.700000000000003</v>
      </c>
      <c r="L1011" s="1186">
        <v>3.4</v>
      </c>
      <c r="M1011" s="1186">
        <v>40.200000000000003</v>
      </c>
      <c r="N1011" s="1186">
        <v>4.5999999999999996</v>
      </c>
      <c r="O1011" s="1186">
        <v>42.09</v>
      </c>
      <c r="P1011" s="1186">
        <v>5.89</v>
      </c>
      <c r="Q1011" s="1186">
        <v>41.6</v>
      </c>
      <c r="R1011" s="1186">
        <v>2</v>
      </c>
      <c r="S1011" s="1186">
        <v>36.24</v>
      </c>
      <c r="T1011" s="1186">
        <v>3.01</v>
      </c>
      <c r="U1011" s="1186">
        <v>38.44</v>
      </c>
      <c r="V1011" s="1186">
        <v>3.75</v>
      </c>
      <c r="W1011" s="1186"/>
      <c r="X1011" s="1186"/>
      <c r="Y1011" s="1186"/>
      <c r="Z1011" s="1186"/>
      <c r="AA1011" s="1186"/>
      <c r="AB1011" s="1186"/>
      <c r="AC1011" s="1186"/>
      <c r="AD1011" s="1187"/>
    </row>
    <row r="1012" spans="1:30" x14ac:dyDescent="0.2">
      <c r="A1012">
        <f t="shared" si="49"/>
        <v>25</v>
      </c>
      <c r="B1012">
        <v>1003</v>
      </c>
      <c r="C1012" s="1078">
        <v>3</v>
      </c>
      <c r="D1012" s="1077" t="s">
        <v>5382</v>
      </c>
      <c r="E1012" s="1077" t="s">
        <v>4111</v>
      </c>
      <c r="F1012" s="1185">
        <v>1</v>
      </c>
      <c r="G1012" s="1186"/>
      <c r="H1012" s="1186"/>
      <c r="I1012" s="1186"/>
      <c r="J1012" s="1186"/>
      <c r="K1012" s="1186"/>
      <c r="L1012" s="1186"/>
      <c r="M1012" s="1186"/>
      <c r="N1012" s="1186"/>
      <c r="O1012" s="1186"/>
      <c r="P1012" s="1186"/>
      <c r="Q1012" s="1186"/>
      <c r="R1012" s="1186"/>
      <c r="S1012" s="1186"/>
      <c r="T1012" s="1186"/>
      <c r="U1012" s="1186"/>
      <c r="V1012" s="1186"/>
      <c r="W1012" s="1186">
        <v>6.1</v>
      </c>
      <c r="X1012" s="1186">
        <v>4.7</v>
      </c>
      <c r="Y1012" s="1186">
        <v>5.5</v>
      </c>
      <c r="Z1012" s="1186">
        <v>2.8</v>
      </c>
      <c r="AA1012" s="1186"/>
      <c r="AB1012" s="1186"/>
      <c r="AC1012" s="1186"/>
      <c r="AD1012" s="1187"/>
    </row>
    <row r="1013" spans="1:30" x14ac:dyDescent="0.2">
      <c r="A1013">
        <f t="shared" si="49"/>
        <v>25</v>
      </c>
      <c r="B1013">
        <v>1004</v>
      </c>
      <c r="C1013" s="1078">
        <v>3</v>
      </c>
      <c r="D1013" s="1077" t="s">
        <v>5382</v>
      </c>
      <c r="E1013" s="1077" t="s">
        <v>5387</v>
      </c>
      <c r="F1013" s="1185">
        <v>1</v>
      </c>
      <c r="G1013" s="1186"/>
      <c r="H1013" s="1186"/>
      <c r="I1013" s="1186"/>
      <c r="J1013" s="1186"/>
      <c r="K1013" s="1186"/>
      <c r="L1013" s="1186"/>
      <c r="M1013" s="1186"/>
      <c r="N1013" s="1186"/>
      <c r="O1013" s="1186"/>
      <c r="P1013" s="1186"/>
      <c r="Q1013" s="1186"/>
      <c r="R1013" s="1186"/>
      <c r="S1013" s="1186"/>
      <c r="T1013" s="1186"/>
      <c r="U1013" s="1186"/>
      <c r="V1013" s="1186"/>
      <c r="W1013" s="1186">
        <v>8.1</v>
      </c>
      <c r="X1013" s="1186">
        <v>4.8</v>
      </c>
      <c r="Y1013" s="1186">
        <v>7.1</v>
      </c>
      <c r="Z1013" s="1186">
        <v>2.8</v>
      </c>
      <c r="AA1013" s="1186"/>
      <c r="AB1013" s="1186"/>
      <c r="AC1013" s="1186"/>
      <c r="AD1013" s="1187"/>
    </row>
    <row r="1014" spans="1:30" x14ac:dyDescent="0.2">
      <c r="A1014">
        <f t="shared" si="49"/>
        <v>25</v>
      </c>
      <c r="B1014">
        <v>1005</v>
      </c>
      <c r="C1014" s="1078">
        <v>3</v>
      </c>
      <c r="D1014" s="1077" t="s">
        <v>5382</v>
      </c>
      <c r="E1014" s="1077" t="s">
        <v>4119</v>
      </c>
      <c r="F1014" s="1185">
        <v>1</v>
      </c>
      <c r="G1014" s="1186"/>
      <c r="H1014" s="1186"/>
      <c r="I1014" s="1186"/>
      <c r="J1014" s="1186"/>
      <c r="K1014" s="1186"/>
      <c r="L1014" s="1186"/>
      <c r="M1014" s="1186"/>
      <c r="N1014" s="1186"/>
      <c r="O1014" s="1186"/>
      <c r="P1014" s="1186"/>
      <c r="Q1014" s="1186"/>
      <c r="R1014" s="1186"/>
      <c r="S1014" s="1186"/>
      <c r="T1014" s="1186"/>
      <c r="U1014" s="1186"/>
      <c r="V1014" s="1186"/>
      <c r="W1014" s="1186">
        <v>10.9</v>
      </c>
      <c r="X1014" s="1186">
        <v>4.9000000000000004</v>
      </c>
      <c r="Y1014" s="1186">
        <v>10</v>
      </c>
      <c r="Z1014" s="1186">
        <v>2.9</v>
      </c>
      <c r="AA1014" s="1186"/>
      <c r="AB1014" s="1186"/>
      <c r="AC1014" s="1186"/>
      <c r="AD1014" s="1187"/>
    </row>
    <row r="1015" spans="1:30" x14ac:dyDescent="0.2">
      <c r="A1015">
        <f t="shared" si="49"/>
        <v>25</v>
      </c>
      <c r="B1015">
        <v>1006</v>
      </c>
      <c r="C1015" s="1078">
        <v>3</v>
      </c>
      <c r="D1015" s="1077" t="s">
        <v>5382</v>
      </c>
      <c r="E1015" s="1077" t="s">
        <v>4122</v>
      </c>
      <c r="F1015" s="1185">
        <v>1</v>
      </c>
      <c r="G1015" s="1186"/>
      <c r="H1015" s="1186"/>
      <c r="I1015" s="1186"/>
      <c r="J1015" s="1186"/>
      <c r="K1015" s="1186"/>
      <c r="L1015" s="1186"/>
      <c r="M1015" s="1186"/>
      <c r="N1015" s="1186"/>
      <c r="O1015" s="1186"/>
      <c r="P1015" s="1186"/>
      <c r="Q1015" s="1186"/>
      <c r="R1015" s="1186"/>
      <c r="S1015" s="1186"/>
      <c r="T1015" s="1186"/>
      <c r="U1015" s="1186"/>
      <c r="V1015" s="1186"/>
      <c r="W1015" s="1186">
        <v>13.9</v>
      </c>
      <c r="X1015" s="1186">
        <v>5</v>
      </c>
      <c r="Y1015" s="1186">
        <v>12.8</v>
      </c>
      <c r="Z1015" s="1186">
        <v>3</v>
      </c>
      <c r="AA1015" s="1186"/>
      <c r="AB1015" s="1186"/>
      <c r="AC1015" s="1186"/>
      <c r="AD1015" s="1187"/>
    </row>
    <row r="1016" spans="1:30" x14ac:dyDescent="0.2">
      <c r="A1016">
        <f t="shared" si="49"/>
        <v>25</v>
      </c>
      <c r="B1016">
        <v>1007</v>
      </c>
      <c r="C1016" s="1078">
        <v>3</v>
      </c>
      <c r="D1016" s="1077" t="s">
        <v>5382</v>
      </c>
      <c r="E1016" s="1077" t="s">
        <v>4123</v>
      </c>
      <c r="F1016" s="1185">
        <v>1</v>
      </c>
      <c r="G1016" s="1186"/>
      <c r="H1016" s="1186"/>
      <c r="I1016" s="1186"/>
      <c r="J1016" s="1186"/>
      <c r="K1016" s="1186"/>
      <c r="L1016" s="1186"/>
      <c r="M1016" s="1186"/>
      <c r="N1016" s="1186"/>
      <c r="O1016" s="1186"/>
      <c r="P1016" s="1186"/>
      <c r="Q1016" s="1186"/>
      <c r="R1016" s="1186"/>
      <c r="S1016" s="1186"/>
      <c r="T1016" s="1186"/>
      <c r="U1016" s="1186"/>
      <c r="V1016" s="1186"/>
      <c r="W1016" s="1186">
        <v>17.5</v>
      </c>
      <c r="X1016" s="1186">
        <v>4.7</v>
      </c>
      <c r="Y1016" s="1186">
        <v>16.5</v>
      </c>
      <c r="Z1016" s="1186">
        <v>2.9</v>
      </c>
      <c r="AA1016" s="1186"/>
      <c r="AB1016" s="1186"/>
      <c r="AC1016" s="1186"/>
      <c r="AD1016" s="1187"/>
    </row>
    <row r="1017" spans="1:30" x14ac:dyDescent="0.2">
      <c r="A1017">
        <f t="shared" si="49"/>
        <v>25</v>
      </c>
      <c r="B1017">
        <v>1008</v>
      </c>
      <c r="C1017" s="1078">
        <v>3</v>
      </c>
      <c r="D1017" s="1077" t="s">
        <v>5382</v>
      </c>
      <c r="E1017" s="1077" t="s">
        <v>4125</v>
      </c>
      <c r="F1017" s="1185">
        <v>2</v>
      </c>
      <c r="G1017" s="1186"/>
      <c r="H1017" s="1186"/>
      <c r="I1017" s="1186"/>
      <c r="J1017" s="1186"/>
      <c r="K1017" s="1186"/>
      <c r="L1017" s="1186"/>
      <c r="M1017" s="1186"/>
      <c r="N1017" s="1186"/>
      <c r="O1017" s="1186"/>
      <c r="P1017" s="1186"/>
      <c r="Q1017" s="1186"/>
      <c r="R1017" s="1186"/>
      <c r="S1017" s="1186"/>
      <c r="T1017" s="1186"/>
      <c r="U1017" s="1186"/>
      <c r="V1017" s="1186"/>
      <c r="W1017" s="1186">
        <v>26.7</v>
      </c>
      <c r="X1017" s="1186">
        <v>4.9000000000000004</v>
      </c>
      <c r="Y1017" s="1186">
        <v>24.7</v>
      </c>
      <c r="Z1017" s="1186">
        <v>3.1</v>
      </c>
      <c r="AA1017" s="1186"/>
      <c r="AB1017" s="1186"/>
      <c r="AC1017" s="1186"/>
      <c r="AD1017" s="1187"/>
    </row>
    <row r="1018" spans="1:30" x14ac:dyDescent="0.2">
      <c r="A1018">
        <f t="shared" si="49"/>
        <v>25</v>
      </c>
      <c r="B1018">
        <v>1009</v>
      </c>
      <c r="C1018" s="1078">
        <v>3</v>
      </c>
      <c r="D1018" s="1077" t="s">
        <v>5382</v>
      </c>
      <c r="E1018" s="1077" t="s">
        <v>4126</v>
      </c>
      <c r="F1018" s="1185">
        <v>2</v>
      </c>
      <c r="G1018" s="1186"/>
      <c r="H1018" s="1186"/>
      <c r="I1018" s="1186"/>
      <c r="J1018" s="1186"/>
      <c r="K1018" s="1186"/>
      <c r="L1018" s="1186"/>
      <c r="M1018" s="1186"/>
      <c r="N1018" s="1186"/>
      <c r="O1018" s="1186"/>
      <c r="P1018" s="1186"/>
      <c r="Q1018" s="1186"/>
      <c r="R1018" s="1186"/>
      <c r="S1018" s="1186"/>
      <c r="T1018" s="1186"/>
      <c r="U1018" s="1186"/>
      <c r="V1018" s="1186"/>
      <c r="W1018" s="1186">
        <v>34.799999999999997</v>
      </c>
      <c r="X1018" s="1186">
        <v>4.8</v>
      </c>
      <c r="Y1018" s="1186">
        <v>32.1</v>
      </c>
      <c r="Z1018" s="1186">
        <v>3</v>
      </c>
      <c r="AA1018" s="1186"/>
      <c r="AB1018" s="1186"/>
      <c r="AC1018" s="1186"/>
      <c r="AD1018" s="1187"/>
    </row>
    <row r="1019" spans="1:30" x14ac:dyDescent="0.2">
      <c r="A1019">
        <f t="shared" si="49"/>
        <v>25</v>
      </c>
      <c r="B1019">
        <v>1010</v>
      </c>
      <c r="C1019" s="1078">
        <v>3</v>
      </c>
      <c r="D1019" s="1077" t="s">
        <v>5382</v>
      </c>
      <c r="E1019" s="1077" t="s">
        <v>4127</v>
      </c>
      <c r="F1019" s="1185">
        <v>2</v>
      </c>
      <c r="G1019" s="1186"/>
      <c r="H1019" s="1186"/>
      <c r="I1019" s="1186"/>
      <c r="J1019" s="1186"/>
      <c r="K1019" s="1186"/>
      <c r="L1019" s="1186"/>
      <c r="M1019" s="1186"/>
      <c r="N1019" s="1186"/>
      <c r="O1019" s="1186"/>
      <c r="P1019" s="1186"/>
      <c r="Q1019" s="1186"/>
      <c r="R1019" s="1186"/>
      <c r="S1019" s="1186"/>
      <c r="T1019" s="1186"/>
      <c r="U1019" s="1186"/>
      <c r="V1019" s="1186"/>
      <c r="W1019" s="1186">
        <v>52</v>
      </c>
      <c r="X1019" s="1186">
        <v>5</v>
      </c>
      <c r="Y1019" s="1186">
        <v>44.1</v>
      </c>
      <c r="Z1019" s="1186">
        <v>2.8</v>
      </c>
      <c r="AA1019" s="1186"/>
      <c r="AB1019" s="1186"/>
      <c r="AC1019" s="1186"/>
      <c r="AD1019" s="1187"/>
    </row>
    <row r="1020" spans="1:30" x14ac:dyDescent="0.2">
      <c r="A1020">
        <f t="shared" si="49"/>
        <v>25</v>
      </c>
      <c r="B1020">
        <v>1011</v>
      </c>
      <c r="C1020" s="1078">
        <v>3</v>
      </c>
      <c r="D1020" s="1077" t="s">
        <v>5382</v>
      </c>
      <c r="E1020" s="1077" t="s">
        <v>4128</v>
      </c>
      <c r="F1020" s="1185">
        <v>2</v>
      </c>
      <c r="G1020" s="1186"/>
      <c r="H1020" s="1186"/>
      <c r="I1020" s="1186"/>
      <c r="J1020" s="1186"/>
      <c r="K1020" s="1186"/>
      <c r="L1020" s="1186"/>
      <c r="M1020" s="1186"/>
      <c r="N1020" s="1186"/>
      <c r="O1020" s="1186"/>
      <c r="P1020" s="1186"/>
      <c r="Q1020" s="1186"/>
      <c r="R1020" s="1186"/>
      <c r="S1020" s="1186"/>
      <c r="T1020" s="1186"/>
      <c r="U1020" s="1186"/>
      <c r="V1020" s="1186"/>
      <c r="W1020" s="1186">
        <v>73.5</v>
      </c>
      <c r="X1020" s="1186">
        <v>4.8</v>
      </c>
      <c r="Y1020" s="1186">
        <v>67.3</v>
      </c>
      <c r="Z1020" s="1186">
        <v>3</v>
      </c>
      <c r="AA1020" s="1186"/>
      <c r="AB1020" s="1186"/>
      <c r="AC1020" s="1186"/>
      <c r="AD1020" s="1187"/>
    </row>
    <row r="1021" spans="1:30" x14ac:dyDescent="0.2">
      <c r="A1021">
        <f t="shared" si="49"/>
        <v>25</v>
      </c>
      <c r="B1021">
        <v>1012</v>
      </c>
      <c r="C1021" s="1078">
        <v>3</v>
      </c>
      <c r="D1021" s="1077" t="s">
        <v>5382</v>
      </c>
      <c r="E1021" s="1077" t="s">
        <v>5388</v>
      </c>
      <c r="F1021" s="1185">
        <v>2</v>
      </c>
      <c r="G1021" s="1186"/>
      <c r="H1021" s="1186"/>
      <c r="I1021" s="1186"/>
      <c r="J1021" s="1186"/>
      <c r="K1021" s="1186"/>
      <c r="L1021" s="1186"/>
      <c r="M1021" s="1186"/>
      <c r="N1021" s="1186"/>
      <c r="O1021" s="1186"/>
      <c r="P1021" s="1186"/>
      <c r="Q1021" s="1186"/>
      <c r="R1021" s="1186"/>
      <c r="S1021" s="1186"/>
      <c r="T1021" s="1186"/>
      <c r="U1021" s="1186"/>
      <c r="V1021" s="1186"/>
      <c r="W1021" s="1186">
        <v>86</v>
      </c>
      <c r="X1021" s="1186">
        <v>4.7</v>
      </c>
      <c r="Y1021" s="1186">
        <v>78.900000000000006</v>
      </c>
      <c r="Z1021" s="1186">
        <v>3</v>
      </c>
      <c r="AA1021" s="1186"/>
      <c r="AB1021" s="1186"/>
      <c r="AC1021" s="1186"/>
      <c r="AD1021" s="1187"/>
    </row>
    <row r="1022" spans="1:30" x14ac:dyDescent="0.2">
      <c r="A1022">
        <f t="shared" si="49"/>
        <v>25</v>
      </c>
      <c r="B1022">
        <v>1013</v>
      </c>
      <c r="C1022" s="1078">
        <v>3</v>
      </c>
      <c r="D1022" s="1077" t="s">
        <v>5382</v>
      </c>
      <c r="E1022" s="1077" t="s">
        <v>4783</v>
      </c>
      <c r="F1022" s="1185">
        <v>2</v>
      </c>
      <c r="G1022" s="1186"/>
      <c r="H1022" s="1186"/>
      <c r="I1022" s="1186"/>
      <c r="J1022" s="1186"/>
      <c r="K1022" s="1186"/>
      <c r="L1022" s="1186"/>
      <c r="M1022" s="1186"/>
      <c r="N1022" s="1186"/>
      <c r="O1022" s="1186"/>
      <c r="P1022" s="1186"/>
      <c r="Q1022" s="1186"/>
      <c r="R1022" s="1186"/>
      <c r="S1022" s="1186"/>
      <c r="T1022" s="1186"/>
      <c r="U1022" s="1186"/>
      <c r="V1022" s="1186"/>
      <c r="W1022" s="1186">
        <v>138.1</v>
      </c>
      <c r="X1022" s="1186">
        <v>4.5999999999999996</v>
      </c>
      <c r="Y1022" s="1186">
        <v>129.6</v>
      </c>
      <c r="Z1022" s="1186">
        <v>3.1</v>
      </c>
      <c r="AA1022" s="1186"/>
      <c r="AB1022" s="1186"/>
      <c r="AC1022" s="1186"/>
      <c r="AD1022" s="1187"/>
    </row>
    <row r="1023" spans="1:30" x14ac:dyDescent="0.2">
      <c r="A1023">
        <f t="shared" si="49"/>
        <v>25</v>
      </c>
      <c r="B1023">
        <v>1014</v>
      </c>
      <c r="C1023" s="1078">
        <v>3</v>
      </c>
      <c r="D1023" s="1077" t="s">
        <v>5382</v>
      </c>
      <c r="E1023" s="1077" t="s">
        <v>4124</v>
      </c>
      <c r="F1023" s="1185">
        <v>2</v>
      </c>
      <c r="G1023" s="1186"/>
      <c r="H1023" s="1186"/>
      <c r="I1023" s="1186"/>
      <c r="J1023" s="1186"/>
      <c r="K1023" s="1186"/>
      <c r="L1023" s="1186"/>
      <c r="M1023" s="1186"/>
      <c r="N1023" s="1186"/>
      <c r="O1023" s="1186"/>
      <c r="P1023" s="1186"/>
      <c r="Q1023" s="1186"/>
      <c r="R1023" s="1186"/>
      <c r="S1023" s="1186"/>
      <c r="T1023" s="1186"/>
      <c r="U1023" s="1186"/>
      <c r="V1023" s="1186"/>
      <c r="W1023" s="1186">
        <v>21.4</v>
      </c>
      <c r="X1023" s="1186">
        <v>4.4000000000000004</v>
      </c>
      <c r="Y1023" s="1186">
        <v>21</v>
      </c>
      <c r="Z1023" s="1186">
        <v>3</v>
      </c>
      <c r="AA1023" s="1186"/>
      <c r="AB1023" s="1186"/>
      <c r="AC1023" s="1186"/>
      <c r="AD1023" s="1187"/>
    </row>
    <row r="1024" spans="1:30" x14ac:dyDescent="0.2">
      <c r="A1024">
        <f t="shared" si="49"/>
        <v>25</v>
      </c>
      <c r="B1024">
        <v>1015</v>
      </c>
      <c r="C1024" s="1078">
        <v>3</v>
      </c>
      <c r="D1024" s="1077" t="s">
        <v>5382</v>
      </c>
      <c r="E1024" s="1077" t="s">
        <v>5389</v>
      </c>
      <c r="F1024" s="1185">
        <v>2</v>
      </c>
      <c r="G1024" s="1186"/>
      <c r="H1024" s="1186"/>
      <c r="I1024" s="1186"/>
      <c r="J1024" s="1186"/>
      <c r="K1024" s="1186"/>
      <c r="L1024" s="1186"/>
      <c r="M1024" s="1186"/>
      <c r="N1024" s="1186"/>
      <c r="O1024" s="1186"/>
      <c r="P1024" s="1186"/>
      <c r="Q1024" s="1186"/>
      <c r="R1024" s="1186"/>
      <c r="S1024" s="1186"/>
      <c r="T1024" s="1186"/>
      <c r="U1024" s="1186"/>
      <c r="V1024" s="1186"/>
      <c r="W1024" s="1186">
        <v>88.6</v>
      </c>
      <c r="X1024" s="1186">
        <v>4.3</v>
      </c>
      <c r="Y1024" s="1186">
        <v>84.9</v>
      </c>
      <c r="Z1024" s="1186">
        <v>2.9</v>
      </c>
      <c r="AA1024" s="1186"/>
      <c r="AB1024" s="1186"/>
      <c r="AC1024" s="1186"/>
      <c r="AD1024" s="1187"/>
    </row>
    <row r="1025" spans="1:30" x14ac:dyDescent="0.2">
      <c r="A1025">
        <f t="shared" si="49"/>
        <v>26</v>
      </c>
      <c r="B1025">
        <v>1016</v>
      </c>
      <c r="C1025" s="1078">
        <v>2</v>
      </c>
      <c r="D1025" s="1077" t="s">
        <v>3339</v>
      </c>
      <c r="E1025" s="1077" t="s">
        <v>4182</v>
      </c>
      <c r="F1025" s="1185"/>
      <c r="G1025" s="1186"/>
      <c r="H1025" s="1186"/>
      <c r="I1025" s="1186">
        <v>5.0999999999999996</v>
      </c>
      <c r="J1025" s="1186">
        <v>3.1</v>
      </c>
      <c r="K1025" s="1186">
        <v>6.7</v>
      </c>
      <c r="L1025" s="1186">
        <v>4.0999999999999996</v>
      </c>
      <c r="M1025" s="1186">
        <v>7.8</v>
      </c>
      <c r="N1025" s="1186">
        <v>4.8</v>
      </c>
      <c r="O1025" s="1186"/>
      <c r="P1025" s="1186"/>
      <c r="Q1025" s="1186">
        <v>4.9000000000000004</v>
      </c>
      <c r="R1025" s="1186">
        <v>1.9</v>
      </c>
      <c r="S1025" s="1186">
        <v>7.2</v>
      </c>
      <c r="T1025" s="1186">
        <v>2.9</v>
      </c>
      <c r="U1025" s="1186"/>
      <c r="V1025" s="1186"/>
      <c r="W1025" s="1186"/>
      <c r="X1025" s="1186"/>
      <c r="Y1025" s="1186"/>
      <c r="Z1025" s="1186"/>
      <c r="AA1025" s="1186"/>
      <c r="AB1025" s="1186"/>
      <c r="AC1025" s="1186"/>
      <c r="AD1025" s="1187"/>
    </row>
    <row r="1026" spans="1:30" x14ac:dyDescent="0.2">
      <c r="A1026">
        <f t="shared" si="49"/>
        <v>26</v>
      </c>
      <c r="B1026">
        <v>1017</v>
      </c>
      <c r="C1026" s="1078">
        <v>2</v>
      </c>
      <c r="D1026" s="1077" t="s">
        <v>3339</v>
      </c>
      <c r="E1026" s="1077" t="s">
        <v>4183</v>
      </c>
      <c r="F1026" s="1185"/>
      <c r="G1026" s="1186"/>
      <c r="H1026" s="1186"/>
      <c r="I1026" s="1186">
        <v>6.3</v>
      </c>
      <c r="J1026" s="1186">
        <v>3.1</v>
      </c>
      <c r="K1026" s="1186">
        <v>8.1999999999999993</v>
      </c>
      <c r="L1026" s="1186">
        <v>4</v>
      </c>
      <c r="M1026" s="1186">
        <v>9.5</v>
      </c>
      <c r="N1026" s="1186">
        <v>4.7</v>
      </c>
      <c r="O1026" s="1186"/>
      <c r="P1026" s="1186"/>
      <c r="Q1026" s="1186">
        <v>5.4</v>
      </c>
      <c r="R1026" s="1186">
        <v>1.9</v>
      </c>
      <c r="S1026" s="1186">
        <v>8.1</v>
      </c>
      <c r="T1026" s="1186">
        <v>2.8</v>
      </c>
      <c r="U1026" s="1186"/>
      <c r="V1026" s="1186"/>
      <c r="W1026" s="1186"/>
      <c r="X1026" s="1186"/>
      <c r="Y1026" s="1186"/>
      <c r="Z1026" s="1186"/>
      <c r="AA1026" s="1186"/>
      <c r="AB1026" s="1186"/>
      <c r="AC1026" s="1186"/>
      <c r="AD1026" s="1187"/>
    </row>
    <row r="1027" spans="1:30" x14ac:dyDescent="0.2">
      <c r="A1027">
        <f t="shared" si="49"/>
        <v>26</v>
      </c>
      <c r="B1027">
        <v>1018</v>
      </c>
      <c r="C1027" s="1078">
        <v>2</v>
      </c>
      <c r="D1027" s="1077" t="s">
        <v>3339</v>
      </c>
      <c r="E1027" s="1077" t="s">
        <v>4184</v>
      </c>
      <c r="F1027" s="1185"/>
      <c r="G1027" s="1186"/>
      <c r="H1027" s="1186"/>
      <c r="I1027" s="1186">
        <v>7.4</v>
      </c>
      <c r="J1027" s="1186">
        <v>3.4</v>
      </c>
      <c r="K1027" s="1186">
        <v>9.5</v>
      </c>
      <c r="L1027" s="1186">
        <v>4.2</v>
      </c>
      <c r="M1027" s="1186">
        <v>11</v>
      </c>
      <c r="N1027" s="1186">
        <v>4.8</v>
      </c>
      <c r="O1027" s="1186"/>
      <c r="P1027" s="1186"/>
      <c r="Q1027" s="1186">
        <v>6.9</v>
      </c>
      <c r="R1027" s="1186">
        <v>2.2000000000000002</v>
      </c>
      <c r="S1027" s="1186">
        <v>9.9</v>
      </c>
      <c r="T1027" s="1186">
        <v>3</v>
      </c>
      <c r="U1027" s="1186"/>
      <c r="V1027" s="1186"/>
      <c r="W1027" s="1186"/>
      <c r="X1027" s="1186"/>
      <c r="Y1027" s="1186"/>
      <c r="Z1027" s="1186"/>
      <c r="AA1027" s="1186"/>
      <c r="AB1027" s="1186"/>
      <c r="AC1027" s="1186"/>
      <c r="AD1027" s="1187"/>
    </row>
    <row r="1028" spans="1:30" x14ac:dyDescent="0.2">
      <c r="A1028">
        <f t="shared" si="49"/>
        <v>26</v>
      </c>
      <c r="B1028">
        <v>1019</v>
      </c>
      <c r="C1028" s="1078">
        <v>2</v>
      </c>
      <c r="D1028" s="1077" t="s">
        <v>3339</v>
      </c>
      <c r="E1028" s="1077" t="s">
        <v>4185</v>
      </c>
      <c r="F1028" s="1185"/>
      <c r="G1028" s="1186"/>
      <c r="H1028" s="1186"/>
      <c r="I1028" s="1186">
        <v>9.1999999999999993</v>
      </c>
      <c r="J1028" s="1186">
        <v>3.2</v>
      </c>
      <c r="K1028" s="1186">
        <v>10.9</v>
      </c>
      <c r="L1028" s="1186">
        <v>4</v>
      </c>
      <c r="M1028" s="1186">
        <v>16.7</v>
      </c>
      <c r="N1028" s="1186">
        <v>4.5999999999999996</v>
      </c>
      <c r="O1028" s="1186"/>
      <c r="P1028" s="1186"/>
      <c r="Q1028" s="1186">
        <v>8.6999999999999993</v>
      </c>
      <c r="R1028" s="1186">
        <v>2.1</v>
      </c>
      <c r="S1028" s="1186">
        <v>12.8</v>
      </c>
      <c r="T1028" s="1186">
        <v>2.9</v>
      </c>
      <c r="U1028" s="1186"/>
      <c r="V1028" s="1186"/>
      <c r="W1028" s="1186"/>
      <c r="X1028" s="1186"/>
      <c r="Y1028" s="1186"/>
      <c r="Z1028" s="1186"/>
      <c r="AA1028" s="1186"/>
      <c r="AB1028" s="1186"/>
      <c r="AC1028" s="1186"/>
      <c r="AD1028" s="1187"/>
    </row>
    <row r="1029" spans="1:30" x14ac:dyDescent="0.2">
      <c r="A1029">
        <f t="shared" si="49"/>
        <v>26</v>
      </c>
      <c r="B1029">
        <v>1020</v>
      </c>
      <c r="C1029" s="1078">
        <v>2</v>
      </c>
      <c r="D1029" s="1077" t="s">
        <v>3339</v>
      </c>
      <c r="E1029" s="1077" t="s">
        <v>4186</v>
      </c>
      <c r="F1029" s="1185"/>
      <c r="G1029" s="1186"/>
      <c r="H1029" s="1186"/>
      <c r="I1029" s="1186">
        <v>9.9</v>
      </c>
      <c r="J1029" s="1186">
        <v>3.1</v>
      </c>
      <c r="K1029" s="1186">
        <v>11.5</v>
      </c>
      <c r="L1029" s="1186">
        <v>3.6</v>
      </c>
      <c r="M1029" s="1186">
        <v>14.7</v>
      </c>
      <c r="N1029" s="1186">
        <v>4.5</v>
      </c>
      <c r="O1029" s="1186"/>
      <c r="P1029" s="1186"/>
      <c r="Q1029" s="1186">
        <v>9.1999999999999993</v>
      </c>
      <c r="R1029" s="1186">
        <v>1.9</v>
      </c>
      <c r="S1029" s="1186">
        <v>13</v>
      </c>
      <c r="T1029" s="1186">
        <v>2.7</v>
      </c>
      <c r="U1029" s="1186"/>
      <c r="V1029" s="1186"/>
      <c r="W1029" s="1186"/>
      <c r="X1029" s="1186"/>
      <c r="Y1029" s="1186"/>
      <c r="Z1029" s="1186"/>
      <c r="AA1029" s="1186"/>
      <c r="AB1029" s="1186"/>
      <c r="AC1029" s="1186"/>
      <c r="AD1029" s="1187"/>
    </row>
    <row r="1030" spans="1:30" x14ac:dyDescent="0.2">
      <c r="A1030">
        <f t="shared" si="49"/>
        <v>26</v>
      </c>
      <c r="B1030">
        <v>1021</v>
      </c>
      <c r="C1030" s="1078">
        <v>3</v>
      </c>
      <c r="D1030" s="1077" t="s">
        <v>3339</v>
      </c>
      <c r="E1030" s="1077" t="s">
        <v>4187</v>
      </c>
      <c r="F1030" s="1185">
        <v>1</v>
      </c>
      <c r="G1030" s="1186"/>
      <c r="H1030" s="1186"/>
      <c r="I1030" s="1186"/>
      <c r="J1030" s="1186"/>
      <c r="K1030" s="1186"/>
      <c r="L1030" s="1186"/>
      <c r="M1030" s="1186"/>
      <c r="N1030" s="1186"/>
      <c r="O1030" s="1186"/>
      <c r="P1030" s="1186"/>
      <c r="Q1030" s="1186"/>
      <c r="R1030" s="1186"/>
      <c r="S1030" s="1186"/>
      <c r="T1030" s="1186"/>
      <c r="U1030" s="1186"/>
      <c r="V1030" s="1186"/>
      <c r="W1030" s="1186">
        <v>5.8</v>
      </c>
      <c r="X1030" s="1186">
        <v>4.5</v>
      </c>
      <c r="Y1030" s="1186">
        <v>5.2</v>
      </c>
      <c r="Z1030" s="1186">
        <v>2.6</v>
      </c>
      <c r="AA1030" s="1186">
        <v>7.1</v>
      </c>
      <c r="AB1030" s="1186">
        <v>5.4</v>
      </c>
      <c r="AC1030" s="1186">
        <v>6.7</v>
      </c>
      <c r="AD1030" s="1187">
        <v>3.4</v>
      </c>
    </row>
    <row r="1031" spans="1:30" x14ac:dyDescent="0.2">
      <c r="A1031">
        <f t="shared" si="49"/>
        <v>26</v>
      </c>
      <c r="B1031">
        <v>1022</v>
      </c>
      <c r="C1031" s="1078">
        <v>3</v>
      </c>
      <c r="D1031" s="1077" t="s">
        <v>3339</v>
      </c>
      <c r="E1031" s="1077" t="s">
        <v>4187</v>
      </c>
      <c r="F1031" s="1185">
        <v>1</v>
      </c>
      <c r="G1031" s="1186"/>
      <c r="H1031" s="1186"/>
      <c r="I1031" s="1186"/>
      <c r="J1031" s="1186"/>
      <c r="K1031" s="1186"/>
      <c r="L1031" s="1186"/>
      <c r="M1031" s="1186"/>
      <c r="N1031" s="1186"/>
      <c r="O1031" s="1186"/>
      <c r="P1031" s="1186"/>
      <c r="Q1031" s="1186"/>
      <c r="R1031" s="1186"/>
      <c r="S1031" s="1186"/>
      <c r="T1031" s="1186"/>
      <c r="U1031" s="1186"/>
      <c r="V1031" s="1186"/>
      <c r="W1031" s="1186">
        <v>5.8</v>
      </c>
      <c r="X1031" s="1186">
        <v>4.5</v>
      </c>
      <c r="Y1031" s="1186">
        <v>5.2</v>
      </c>
      <c r="Z1031" s="1186">
        <v>2.6</v>
      </c>
      <c r="AA1031" s="1186"/>
      <c r="AB1031" s="1186"/>
      <c r="AC1031" s="1186"/>
      <c r="AD1031" s="1187"/>
    </row>
    <row r="1032" spans="1:30" x14ac:dyDescent="0.2">
      <c r="A1032">
        <f t="shared" si="49"/>
        <v>26</v>
      </c>
      <c r="B1032">
        <v>1023</v>
      </c>
      <c r="C1032" s="1078">
        <v>3</v>
      </c>
      <c r="D1032" s="1077" t="s">
        <v>3339</v>
      </c>
      <c r="E1032" s="1077" t="s">
        <v>4188</v>
      </c>
      <c r="F1032" s="1185">
        <v>1</v>
      </c>
      <c r="G1032" s="1186"/>
      <c r="H1032" s="1186"/>
      <c r="I1032" s="1186"/>
      <c r="J1032" s="1186"/>
      <c r="K1032" s="1186"/>
      <c r="L1032" s="1186"/>
      <c r="M1032" s="1186"/>
      <c r="N1032" s="1186"/>
      <c r="O1032" s="1186"/>
      <c r="P1032" s="1186"/>
      <c r="Q1032" s="1186"/>
      <c r="R1032" s="1186"/>
      <c r="S1032" s="1186"/>
      <c r="T1032" s="1186"/>
      <c r="U1032" s="1186"/>
      <c r="V1032" s="1186"/>
      <c r="W1032" s="1186">
        <v>7.6</v>
      </c>
      <c r="X1032" s="1186">
        <v>4.5999999999999996</v>
      </c>
      <c r="Y1032" s="1186">
        <v>6.9</v>
      </c>
      <c r="Z1032" s="1186">
        <v>2.6</v>
      </c>
      <c r="AA1032" s="1186"/>
      <c r="AB1032" s="1186"/>
      <c r="AC1032" s="1186"/>
      <c r="AD1032" s="1187"/>
    </row>
    <row r="1033" spans="1:30" x14ac:dyDescent="0.2">
      <c r="A1033">
        <f t="shared" si="49"/>
        <v>26</v>
      </c>
      <c r="B1033">
        <v>1024</v>
      </c>
      <c r="C1033" s="1078">
        <v>3</v>
      </c>
      <c r="D1033" s="1077" t="s">
        <v>3339</v>
      </c>
      <c r="E1033" s="1077" t="s">
        <v>4189</v>
      </c>
      <c r="F1033" s="1185">
        <v>1</v>
      </c>
      <c r="G1033" s="1186"/>
      <c r="H1033" s="1186"/>
      <c r="I1033" s="1186"/>
      <c r="J1033" s="1186"/>
      <c r="K1033" s="1186"/>
      <c r="L1033" s="1186"/>
      <c r="M1033" s="1186"/>
      <c r="N1033" s="1186"/>
      <c r="O1033" s="1186"/>
      <c r="P1033" s="1186"/>
      <c r="Q1033" s="1186"/>
      <c r="R1033" s="1186"/>
      <c r="S1033" s="1186"/>
      <c r="T1033" s="1186"/>
      <c r="U1033" s="1186"/>
      <c r="V1033" s="1186"/>
      <c r="W1033" s="1186">
        <v>7.6</v>
      </c>
      <c r="X1033" s="1186">
        <v>4.5999999999999996</v>
      </c>
      <c r="Y1033" s="1186">
        <v>6.9</v>
      </c>
      <c r="Z1033" s="1186">
        <v>2.6</v>
      </c>
      <c r="AA1033" s="1186">
        <v>9.6</v>
      </c>
      <c r="AB1033" s="1186">
        <v>5.9</v>
      </c>
      <c r="AC1033" s="1186">
        <v>8.9</v>
      </c>
      <c r="AD1033" s="1187">
        <v>3.4</v>
      </c>
    </row>
    <row r="1034" spans="1:30" x14ac:dyDescent="0.2">
      <c r="A1034">
        <f t="shared" si="49"/>
        <v>26</v>
      </c>
      <c r="B1034">
        <v>1025</v>
      </c>
      <c r="C1034" s="1078">
        <v>3</v>
      </c>
      <c r="D1034" s="1077" t="s">
        <v>3339</v>
      </c>
      <c r="E1034" s="1077" t="s">
        <v>4190</v>
      </c>
      <c r="F1034" s="1185">
        <v>1</v>
      </c>
      <c r="G1034" s="1186"/>
      <c r="H1034" s="1186"/>
      <c r="I1034" s="1186"/>
      <c r="J1034" s="1186"/>
      <c r="K1034" s="1186"/>
      <c r="L1034" s="1186"/>
      <c r="M1034" s="1186"/>
      <c r="N1034" s="1186"/>
      <c r="O1034" s="1186"/>
      <c r="P1034" s="1186"/>
      <c r="Q1034" s="1186"/>
      <c r="R1034" s="1186"/>
      <c r="S1034" s="1186"/>
      <c r="T1034" s="1186"/>
      <c r="U1034" s="1186"/>
      <c r="V1034" s="1186"/>
      <c r="W1034" s="1186">
        <v>10.6</v>
      </c>
      <c r="X1034" s="1186">
        <v>4.8</v>
      </c>
      <c r="Y1034" s="1186">
        <v>9.4</v>
      </c>
      <c r="Z1034" s="1186">
        <v>2.8</v>
      </c>
      <c r="AA1034" s="1186">
        <v>12.7</v>
      </c>
      <c r="AB1034" s="1186">
        <v>6.1</v>
      </c>
      <c r="AC1034" s="1186">
        <v>11.9</v>
      </c>
      <c r="AD1034" s="1187">
        <v>3.5</v>
      </c>
    </row>
    <row r="1035" spans="1:30" x14ac:dyDescent="0.2">
      <c r="A1035">
        <f t="shared" si="49"/>
        <v>26</v>
      </c>
      <c r="B1035">
        <v>1026</v>
      </c>
      <c r="C1035" s="1078">
        <v>3</v>
      </c>
      <c r="D1035" s="1077" t="s">
        <v>3339</v>
      </c>
      <c r="E1035" s="1077" t="s">
        <v>4191</v>
      </c>
      <c r="F1035" s="1185">
        <v>1</v>
      </c>
      <c r="G1035" s="1186"/>
      <c r="H1035" s="1186"/>
      <c r="I1035" s="1186"/>
      <c r="J1035" s="1186"/>
      <c r="K1035" s="1186"/>
      <c r="L1035" s="1186"/>
      <c r="M1035" s="1186"/>
      <c r="N1035" s="1186"/>
      <c r="O1035" s="1186"/>
      <c r="P1035" s="1186"/>
      <c r="Q1035" s="1186"/>
      <c r="R1035" s="1186"/>
      <c r="S1035" s="1186"/>
      <c r="T1035" s="1186"/>
      <c r="U1035" s="1186"/>
      <c r="V1035" s="1186"/>
      <c r="W1035" s="1186">
        <v>10.6</v>
      </c>
      <c r="X1035" s="1186">
        <v>4.8</v>
      </c>
      <c r="Y1035" s="1186">
        <v>9.4</v>
      </c>
      <c r="Z1035" s="1186">
        <v>2.8</v>
      </c>
      <c r="AA1035" s="1186">
        <v>12.7</v>
      </c>
      <c r="AB1035" s="1186">
        <v>6.1</v>
      </c>
      <c r="AC1035" s="1186">
        <v>11.9</v>
      </c>
      <c r="AD1035" s="1187">
        <v>3.5</v>
      </c>
    </row>
    <row r="1036" spans="1:30" x14ac:dyDescent="0.2">
      <c r="A1036">
        <f t="shared" ref="A1036:A1099" si="50">A1035+(D1036&lt;&gt;D1035)*1</f>
        <v>26</v>
      </c>
      <c r="B1036">
        <v>1027</v>
      </c>
      <c r="C1036" s="1078">
        <v>3</v>
      </c>
      <c r="D1036" s="1077" t="s">
        <v>3339</v>
      </c>
      <c r="E1036" s="1077" t="s">
        <v>4192</v>
      </c>
      <c r="F1036" s="1185">
        <v>1</v>
      </c>
      <c r="G1036" s="1186"/>
      <c r="H1036" s="1186"/>
      <c r="I1036" s="1186"/>
      <c r="J1036" s="1186"/>
      <c r="K1036" s="1186"/>
      <c r="L1036" s="1186"/>
      <c r="M1036" s="1186"/>
      <c r="N1036" s="1186"/>
      <c r="O1036" s="1186"/>
      <c r="P1036" s="1186"/>
      <c r="Q1036" s="1186"/>
      <c r="R1036" s="1186"/>
      <c r="S1036" s="1186"/>
      <c r="T1036" s="1186"/>
      <c r="U1036" s="1186"/>
      <c r="V1036" s="1186"/>
      <c r="W1036" s="1186">
        <v>13.4</v>
      </c>
      <c r="X1036" s="1186">
        <v>4.8</v>
      </c>
      <c r="Y1036" s="1186">
        <v>12.4</v>
      </c>
      <c r="Z1036" s="1186">
        <v>3</v>
      </c>
      <c r="AA1036" s="1186"/>
      <c r="AB1036" s="1186"/>
      <c r="AC1036" s="1186"/>
      <c r="AD1036" s="1187"/>
    </row>
    <row r="1037" spans="1:30" x14ac:dyDescent="0.2">
      <c r="A1037">
        <f t="shared" si="50"/>
        <v>26</v>
      </c>
      <c r="B1037">
        <v>1028</v>
      </c>
      <c r="C1037" s="1078">
        <v>3</v>
      </c>
      <c r="D1037" s="1077" t="s">
        <v>3339</v>
      </c>
      <c r="E1037" s="1077" t="s">
        <v>4193</v>
      </c>
      <c r="F1037" s="1185">
        <v>1</v>
      </c>
      <c r="G1037" s="1186"/>
      <c r="H1037" s="1186"/>
      <c r="I1037" s="1186"/>
      <c r="J1037" s="1186"/>
      <c r="K1037" s="1186"/>
      <c r="L1037" s="1186"/>
      <c r="M1037" s="1186"/>
      <c r="N1037" s="1186"/>
      <c r="O1037" s="1186"/>
      <c r="P1037" s="1186"/>
      <c r="Q1037" s="1186"/>
      <c r="R1037" s="1186"/>
      <c r="S1037" s="1186"/>
      <c r="T1037" s="1186"/>
      <c r="U1037" s="1186"/>
      <c r="V1037" s="1186"/>
      <c r="W1037" s="1186">
        <v>13.4</v>
      </c>
      <c r="X1037" s="1186">
        <v>4.8</v>
      </c>
      <c r="Y1037" s="1186">
        <v>12.4</v>
      </c>
      <c r="Z1037" s="1186">
        <v>3</v>
      </c>
      <c r="AA1037" s="1186">
        <v>17.5</v>
      </c>
      <c r="AB1037" s="1186">
        <v>6.3</v>
      </c>
      <c r="AC1037" s="1186">
        <v>16.2</v>
      </c>
      <c r="AD1037" s="1187">
        <v>3.7</v>
      </c>
    </row>
    <row r="1038" spans="1:30" x14ac:dyDescent="0.2">
      <c r="A1038">
        <f t="shared" si="50"/>
        <v>26</v>
      </c>
      <c r="B1038">
        <v>1029</v>
      </c>
      <c r="C1038" s="1078">
        <v>3</v>
      </c>
      <c r="D1038" s="1077" t="s">
        <v>3339</v>
      </c>
      <c r="E1038" s="1077" t="s">
        <v>4194</v>
      </c>
      <c r="F1038" s="1185">
        <v>1</v>
      </c>
      <c r="G1038" s="1186"/>
      <c r="H1038" s="1186"/>
      <c r="I1038" s="1186"/>
      <c r="J1038" s="1186"/>
      <c r="K1038" s="1186"/>
      <c r="L1038" s="1186"/>
      <c r="M1038" s="1186"/>
      <c r="N1038" s="1186"/>
      <c r="O1038" s="1186"/>
      <c r="P1038" s="1186"/>
      <c r="Q1038" s="1186"/>
      <c r="R1038" s="1186"/>
      <c r="S1038" s="1186"/>
      <c r="T1038" s="1186"/>
      <c r="U1038" s="1186"/>
      <c r="V1038" s="1186"/>
      <c r="W1038" s="1186">
        <v>17.2</v>
      </c>
      <c r="X1038" s="1186">
        <v>4.7</v>
      </c>
      <c r="Y1038" s="1186">
        <v>16.3</v>
      </c>
      <c r="Z1038" s="1186">
        <v>2.9</v>
      </c>
      <c r="AA1038" s="1186"/>
      <c r="AB1038" s="1186"/>
      <c r="AC1038" s="1186"/>
      <c r="AD1038" s="1187"/>
    </row>
    <row r="1039" spans="1:30" x14ac:dyDescent="0.2">
      <c r="A1039">
        <f t="shared" si="50"/>
        <v>26</v>
      </c>
      <c r="B1039">
        <v>1030</v>
      </c>
      <c r="C1039" s="1078">
        <v>3</v>
      </c>
      <c r="D1039" s="1077" t="s">
        <v>3339</v>
      </c>
      <c r="E1039" s="1077" t="s">
        <v>4195</v>
      </c>
      <c r="F1039" s="1185">
        <v>1</v>
      </c>
      <c r="G1039" s="1186"/>
      <c r="H1039" s="1186"/>
      <c r="I1039" s="1186"/>
      <c r="J1039" s="1186"/>
      <c r="K1039" s="1186"/>
      <c r="L1039" s="1186"/>
      <c r="M1039" s="1186"/>
      <c r="N1039" s="1186"/>
      <c r="O1039" s="1186"/>
      <c r="P1039" s="1186"/>
      <c r="Q1039" s="1186"/>
      <c r="R1039" s="1186"/>
      <c r="S1039" s="1186"/>
      <c r="T1039" s="1186"/>
      <c r="U1039" s="1186"/>
      <c r="V1039" s="1186"/>
      <c r="W1039" s="1186">
        <v>17.2</v>
      </c>
      <c r="X1039" s="1186">
        <v>4.7</v>
      </c>
      <c r="Y1039" s="1186">
        <v>16.3</v>
      </c>
      <c r="Z1039" s="1186">
        <v>2.9</v>
      </c>
      <c r="AA1039" s="1186">
        <v>22.3</v>
      </c>
      <c r="AB1039" s="1186">
        <v>5.9</v>
      </c>
      <c r="AC1039" s="1186">
        <v>20.3</v>
      </c>
      <c r="AD1039" s="1187">
        <v>3.6</v>
      </c>
    </row>
    <row r="1040" spans="1:30" x14ac:dyDescent="0.2">
      <c r="A1040">
        <f t="shared" si="50"/>
        <v>26</v>
      </c>
      <c r="B1040">
        <v>1031</v>
      </c>
      <c r="C1040" s="1078">
        <v>3</v>
      </c>
      <c r="D1040" s="1077" t="s">
        <v>3339</v>
      </c>
      <c r="E1040" s="1077" t="s">
        <v>4196</v>
      </c>
      <c r="F1040" s="1185">
        <v>3</v>
      </c>
      <c r="G1040" s="1186"/>
      <c r="H1040" s="1186"/>
      <c r="I1040" s="1186"/>
      <c r="J1040" s="1186"/>
      <c r="K1040" s="1186"/>
      <c r="L1040" s="1186"/>
      <c r="M1040" s="1186"/>
      <c r="N1040" s="1186"/>
      <c r="O1040" s="1186"/>
      <c r="P1040" s="1186"/>
      <c r="Q1040" s="1186"/>
      <c r="R1040" s="1186"/>
      <c r="S1040" s="1186"/>
      <c r="T1040" s="1186"/>
      <c r="U1040" s="1186"/>
      <c r="V1040" s="1186"/>
      <c r="W1040" s="1186">
        <v>20.399999999999999</v>
      </c>
      <c r="X1040" s="1186">
        <v>4.9000000000000004</v>
      </c>
      <c r="Y1040" s="1186">
        <v>18.8</v>
      </c>
      <c r="Z1040" s="1186">
        <v>2.8</v>
      </c>
      <c r="AA1040" s="1186">
        <v>27.3</v>
      </c>
      <c r="AB1040" s="1186">
        <v>6.5</v>
      </c>
      <c r="AC1040" s="1186">
        <v>24.5</v>
      </c>
      <c r="AD1040" s="1187">
        <v>3.6</v>
      </c>
    </row>
    <row r="1041" spans="1:30" x14ac:dyDescent="0.2">
      <c r="A1041">
        <f t="shared" si="50"/>
        <v>26</v>
      </c>
      <c r="B1041">
        <v>1032</v>
      </c>
      <c r="C1041" s="1078">
        <v>3</v>
      </c>
      <c r="D1041" s="1077" t="s">
        <v>3339</v>
      </c>
      <c r="E1041" s="1077" t="s">
        <v>4197</v>
      </c>
      <c r="F1041" s="1185">
        <v>3</v>
      </c>
      <c r="G1041" s="1186"/>
      <c r="H1041" s="1186"/>
      <c r="I1041" s="1186"/>
      <c r="J1041" s="1186"/>
      <c r="K1041" s="1186"/>
      <c r="L1041" s="1186"/>
      <c r="M1041" s="1186"/>
      <c r="N1041" s="1186"/>
      <c r="O1041" s="1186"/>
      <c r="P1041" s="1186"/>
      <c r="Q1041" s="1186"/>
      <c r="R1041" s="1186"/>
      <c r="S1041" s="1186"/>
      <c r="T1041" s="1186"/>
      <c r="U1041" s="1186"/>
      <c r="V1041" s="1186"/>
      <c r="W1041" s="1186">
        <v>26</v>
      </c>
      <c r="X1041" s="1186">
        <v>4.9000000000000004</v>
      </c>
      <c r="Y1041" s="1186">
        <v>23.8</v>
      </c>
      <c r="Z1041" s="1186">
        <v>2.9</v>
      </c>
      <c r="AA1041" s="1186">
        <v>35.1</v>
      </c>
      <c r="AB1041" s="1186">
        <v>6.4</v>
      </c>
      <c r="AC1041" s="1186">
        <v>30.9</v>
      </c>
      <c r="AD1041" s="1187">
        <v>3.6</v>
      </c>
    </row>
    <row r="1042" spans="1:30" x14ac:dyDescent="0.2">
      <c r="A1042">
        <f t="shared" si="50"/>
        <v>26</v>
      </c>
      <c r="B1042">
        <v>1033</v>
      </c>
      <c r="C1042" s="1078">
        <v>3</v>
      </c>
      <c r="D1042" s="1077" t="s">
        <v>3339</v>
      </c>
      <c r="E1042" s="1077" t="s">
        <v>4198</v>
      </c>
      <c r="F1042" s="1185">
        <v>3</v>
      </c>
      <c r="G1042" s="1186"/>
      <c r="H1042" s="1186"/>
      <c r="I1042" s="1186"/>
      <c r="J1042" s="1186"/>
      <c r="K1042" s="1186"/>
      <c r="L1042" s="1186"/>
      <c r="M1042" s="1186"/>
      <c r="N1042" s="1186"/>
      <c r="O1042" s="1186"/>
      <c r="P1042" s="1186"/>
      <c r="Q1042" s="1186"/>
      <c r="R1042" s="1186"/>
      <c r="S1042" s="1186"/>
      <c r="T1042" s="1186"/>
      <c r="U1042" s="1186"/>
      <c r="V1042" s="1186"/>
      <c r="W1042" s="1186">
        <v>35.200000000000003</v>
      </c>
      <c r="X1042" s="1186">
        <v>5</v>
      </c>
      <c r="Y1042" s="1186">
        <v>33.299999999999997</v>
      </c>
      <c r="Z1042" s="1186">
        <v>3.1</v>
      </c>
      <c r="AA1042" s="1186">
        <v>46.3</v>
      </c>
      <c r="AB1042" s="1186">
        <v>6.4</v>
      </c>
      <c r="AC1042" s="1186">
        <v>43.5</v>
      </c>
      <c r="AD1042" s="1187">
        <v>3.9</v>
      </c>
    </row>
    <row r="1043" spans="1:30" x14ac:dyDescent="0.2">
      <c r="A1043">
        <f t="shared" si="50"/>
        <v>26</v>
      </c>
      <c r="B1043">
        <v>1034</v>
      </c>
      <c r="C1043" s="1078">
        <v>3</v>
      </c>
      <c r="D1043" s="1077" t="s">
        <v>3339</v>
      </c>
      <c r="E1043" s="1077" t="s">
        <v>4199</v>
      </c>
      <c r="F1043" s="1185">
        <v>3</v>
      </c>
      <c r="G1043" s="1186"/>
      <c r="H1043" s="1186"/>
      <c r="I1043" s="1186"/>
      <c r="J1043" s="1186"/>
      <c r="K1043" s="1186"/>
      <c r="L1043" s="1186"/>
      <c r="M1043" s="1186"/>
      <c r="N1043" s="1186"/>
      <c r="O1043" s="1186"/>
      <c r="P1043" s="1186"/>
      <c r="Q1043" s="1186"/>
      <c r="R1043" s="1186"/>
      <c r="S1043" s="1186"/>
      <c r="T1043" s="1186"/>
      <c r="U1043" s="1186"/>
      <c r="V1043" s="1186"/>
      <c r="W1043" s="1186">
        <v>42</v>
      </c>
      <c r="X1043" s="1186">
        <v>4.8</v>
      </c>
      <c r="Y1043" s="1186">
        <v>37.9</v>
      </c>
      <c r="Z1043" s="1186">
        <v>2.7</v>
      </c>
      <c r="AA1043" s="1186">
        <v>55.3</v>
      </c>
      <c r="AB1043" s="1186">
        <v>6.1</v>
      </c>
      <c r="AC1043" s="1186">
        <v>49.9</v>
      </c>
      <c r="AD1043" s="1187">
        <v>3.4</v>
      </c>
    </row>
    <row r="1044" spans="1:30" x14ac:dyDescent="0.2">
      <c r="A1044">
        <f t="shared" si="50"/>
        <v>27</v>
      </c>
      <c r="B1044">
        <v>1035</v>
      </c>
      <c r="C1044" s="1078">
        <v>2</v>
      </c>
      <c r="D1044" s="1077" t="s">
        <v>5451</v>
      </c>
      <c r="E1044" s="1077" t="s">
        <v>5452</v>
      </c>
      <c r="F1044" s="1185">
        <v>4</v>
      </c>
      <c r="G1044" s="1186">
        <v>4.7</v>
      </c>
      <c r="H1044" s="1186">
        <v>2.2999999999999998</v>
      </c>
      <c r="I1044" s="1186">
        <v>4.9000000000000004</v>
      </c>
      <c r="J1044" s="1186">
        <v>2.4</v>
      </c>
      <c r="K1044" s="1186">
        <v>1.9</v>
      </c>
      <c r="L1044" s="1186">
        <v>3.7</v>
      </c>
      <c r="M1044" s="1186">
        <v>4.2</v>
      </c>
      <c r="N1044" s="1186">
        <v>4.4000000000000004</v>
      </c>
      <c r="O1044" s="1186"/>
      <c r="P1044" s="1186"/>
      <c r="Q1044" s="1186">
        <v>5.0999999999999996</v>
      </c>
      <c r="R1044" s="1186">
        <v>2</v>
      </c>
      <c r="S1044" s="1186">
        <v>4.8</v>
      </c>
      <c r="T1044" s="1186">
        <v>2.8</v>
      </c>
      <c r="U1044" s="1186"/>
      <c r="V1044" s="1186"/>
      <c r="W1044" s="1186"/>
      <c r="X1044" s="1186"/>
      <c r="Y1044" s="1186"/>
      <c r="Z1044" s="1186"/>
      <c r="AA1044" s="1186"/>
      <c r="AB1044" s="1186"/>
      <c r="AC1044" s="1186"/>
      <c r="AD1044" s="1187"/>
    </row>
    <row r="1045" spans="1:30" x14ac:dyDescent="0.2">
      <c r="A1045">
        <f t="shared" si="50"/>
        <v>27</v>
      </c>
      <c r="B1045">
        <v>1036</v>
      </c>
      <c r="C1045" s="1078">
        <v>2</v>
      </c>
      <c r="D1045" s="1077" t="s">
        <v>5451</v>
      </c>
      <c r="E1045" s="1077" t="s">
        <v>5453</v>
      </c>
      <c r="F1045" s="1185">
        <v>4</v>
      </c>
      <c r="G1045" s="1186">
        <v>6.6</v>
      </c>
      <c r="H1045" s="1186">
        <v>2.2999999999999998</v>
      </c>
      <c r="I1045" s="1186">
        <v>6.5</v>
      </c>
      <c r="J1045" s="1186">
        <v>2.5</v>
      </c>
      <c r="K1045" s="1186">
        <v>3.1</v>
      </c>
      <c r="L1045" s="1186">
        <v>4.0999999999999996</v>
      </c>
      <c r="M1045" s="1186">
        <v>7.8</v>
      </c>
      <c r="N1045" s="1186">
        <v>4.4000000000000004</v>
      </c>
      <c r="O1045" s="1186"/>
      <c r="P1045" s="1186"/>
      <c r="Q1045" s="1186">
        <v>6.5</v>
      </c>
      <c r="R1045" s="1186">
        <v>2</v>
      </c>
      <c r="S1045" s="1186">
        <v>7.6</v>
      </c>
      <c r="T1045" s="1186">
        <v>2.9</v>
      </c>
      <c r="U1045" s="1186"/>
      <c r="V1045" s="1186"/>
      <c r="W1045" s="1186"/>
      <c r="X1045" s="1186"/>
      <c r="Y1045" s="1186"/>
      <c r="Z1045" s="1186"/>
      <c r="AA1045" s="1186"/>
      <c r="AB1045" s="1186"/>
      <c r="AC1045" s="1186"/>
      <c r="AD1045" s="1187"/>
    </row>
    <row r="1046" spans="1:30" x14ac:dyDescent="0.2">
      <c r="A1046">
        <f t="shared" si="50"/>
        <v>27</v>
      </c>
      <c r="B1046">
        <v>1037</v>
      </c>
      <c r="C1046" s="1078">
        <v>2</v>
      </c>
      <c r="D1046" s="1077" t="s">
        <v>5451</v>
      </c>
      <c r="E1046" s="1077" t="s">
        <v>5454</v>
      </c>
      <c r="F1046" s="1185">
        <v>4</v>
      </c>
      <c r="G1046" s="1186">
        <v>8.1</v>
      </c>
      <c r="H1046" s="1186">
        <v>2.2999999999999998</v>
      </c>
      <c r="I1046" s="1186">
        <v>10.199999999999999</v>
      </c>
      <c r="J1046" s="1186">
        <v>2.4</v>
      </c>
      <c r="K1046" s="1186">
        <v>5.7</v>
      </c>
      <c r="L1046" s="1186">
        <v>4.2</v>
      </c>
      <c r="M1046" s="1186">
        <v>14.3</v>
      </c>
      <c r="N1046" s="1186">
        <v>4.3</v>
      </c>
      <c r="O1046" s="1186"/>
      <c r="P1046" s="1186"/>
      <c r="Q1046" s="1186">
        <v>9.9</v>
      </c>
      <c r="R1046" s="1186">
        <v>2</v>
      </c>
      <c r="S1046" s="1186">
        <v>14.2</v>
      </c>
      <c r="T1046" s="1186">
        <v>2.8</v>
      </c>
      <c r="U1046" s="1186"/>
      <c r="V1046" s="1186"/>
      <c r="W1046" s="1186"/>
      <c r="X1046" s="1186"/>
      <c r="Y1046" s="1186"/>
      <c r="Z1046" s="1186"/>
      <c r="AA1046" s="1186"/>
      <c r="AB1046" s="1186"/>
      <c r="AC1046" s="1186"/>
      <c r="AD1046" s="1187"/>
    </row>
    <row r="1047" spans="1:30" x14ac:dyDescent="0.2">
      <c r="A1047">
        <f t="shared" si="50"/>
        <v>27</v>
      </c>
      <c r="B1047">
        <v>1038</v>
      </c>
      <c r="C1047" s="1078">
        <v>2</v>
      </c>
      <c r="D1047" s="1077" t="s">
        <v>5451</v>
      </c>
      <c r="E1047" s="1077" t="s">
        <v>5455</v>
      </c>
      <c r="F1047" s="1185">
        <v>4</v>
      </c>
      <c r="G1047" s="1186">
        <v>9.6999999999999993</v>
      </c>
      <c r="H1047" s="1186">
        <v>2</v>
      </c>
      <c r="I1047" s="1186">
        <v>11.3</v>
      </c>
      <c r="J1047" s="1186">
        <v>2.4</v>
      </c>
      <c r="K1047" s="1186">
        <v>5.7</v>
      </c>
      <c r="L1047" s="1186">
        <v>4.2</v>
      </c>
      <c r="M1047" s="1186">
        <v>14.3</v>
      </c>
      <c r="N1047" s="1186">
        <v>4.3</v>
      </c>
      <c r="O1047" s="1186"/>
      <c r="P1047" s="1186"/>
      <c r="Q1047" s="1186">
        <v>11.5</v>
      </c>
      <c r="R1047" s="1186">
        <v>1.8</v>
      </c>
      <c r="S1047" s="1186">
        <v>14.2</v>
      </c>
      <c r="T1047" s="1186">
        <v>2.8</v>
      </c>
      <c r="U1047" s="1186"/>
      <c r="V1047" s="1186"/>
      <c r="W1047" s="1186"/>
      <c r="X1047" s="1186"/>
      <c r="Y1047" s="1186"/>
      <c r="Z1047" s="1186"/>
      <c r="AA1047" s="1186"/>
      <c r="AB1047" s="1186"/>
      <c r="AC1047" s="1186"/>
      <c r="AD1047" s="1187"/>
    </row>
    <row r="1048" spans="1:30" x14ac:dyDescent="0.2">
      <c r="A1048">
        <f t="shared" si="50"/>
        <v>28</v>
      </c>
      <c r="B1048">
        <v>1039</v>
      </c>
      <c r="C1048" s="1078">
        <v>2</v>
      </c>
      <c r="D1048" s="1077" t="s">
        <v>4551</v>
      </c>
      <c r="E1048" s="1077" t="s">
        <v>4552</v>
      </c>
      <c r="F1048" s="1185">
        <v>4</v>
      </c>
      <c r="G1048" s="1186">
        <v>4.95</v>
      </c>
      <c r="H1048" s="1186">
        <v>2.5</v>
      </c>
      <c r="I1048" s="1186">
        <v>6.18</v>
      </c>
      <c r="J1048" s="1186">
        <v>2.82</v>
      </c>
      <c r="K1048" s="1186">
        <v>3.9</v>
      </c>
      <c r="L1048" s="1186">
        <v>4.13</v>
      </c>
      <c r="M1048" s="1186">
        <v>2.96</v>
      </c>
      <c r="N1048" s="1186">
        <v>4.84</v>
      </c>
      <c r="O1048" s="1186"/>
      <c r="P1048" s="1186"/>
      <c r="Q1048" s="1186">
        <v>5.05</v>
      </c>
      <c r="R1048" s="1186">
        <v>2.0499999999999998</v>
      </c>
      <c r="S1048" s="1186">
        <v>2.1</v>
      </c>
      <c r="T1048" s="1186">
        <v>2.8</v>
      </c>
      <c r="U1048" s="1186"/>
      <c r="V1048" s="1186"/>
      <c r="W1048" s="1186"/>
      <c r="X1048" s="1186"/>
      <c r="Y1048" s="1186"/>
      <c r="Z1048" s="1186"/>
      <c r="AA1048" s="1186"/>
      <c r="AB1048" s="1186"/>
      <c r="AC1048" s="1186"/>
      <c r="AD1048" s="1187"/>
    </row>
    <row r="1049" spans="1:30" x14ac:dyDescent="0.2">
      <c r="A1049">
        <f t="shared" si="50"/>
        <v>28</v>
      </c>
      <c r="B1049">
        <v>1040</v>
      </c>
      <c r="C1049" s="1078">
        <v>2</v>
      </c>
      <c r="D1049" s="1077" t="s">
        <v>4551</v>
      </c>
      <c r="E1049" s="1077" t="s">
        <v>4553</v>
      </c>
      <c r="F1049" s="1185">
        <v>4</v>
      </c>
      <c r="G1049" s="1186">
        <v>5.8</v>
      </c>
      <c r="H1049" s="1186">
        <v>2.5</v>
      </c>
      <c r="I1049" s="1186">
        <v>8.43</v>
      </c>
      <c r="J1049" s="1186">
        <v>2.95</v>
      </c>
      <c r="K1049" s="1186">
        <v>5.05</v>
      </c>
      <c r="L1049" s="1186">
        <v>4.29</v>
      </c>
      <c r="M1049" s="1186">
        <v>3.32</v>
      </c>
      <c r="N1049" s="1186">
        <v>4.88</v>
      </c>
      <c r="O1049" s="1186"/>
      <c r="P1049" s="1186"/>
      <c r="Q1049" s="1186">
        <v>5.95</v>
      </c>
      <c r="R1049" s="1186">
        <v>2.0499999999999998</v>
      </c>
      <c r="S1049" s="1186">
        <v>2.8</v>
      </c>
      <c r="T1049" s="1186">
        <v>2.6</v>
      </c>
      <c r="U1049" s="1186"/>
      <c r="V1049" s="1186"/>
      <c r="W1049" s="1186"/>
      <c r="X1049" s="1186"/>
      <c r="Y1049" s="1186"/>
      <c r="Z1049" s="1186"/>
      <c r="AA1049" s="1186"/>
      <c r="AB1049" s="1186"/>
      <c r="AC1049" s="1186"/>
      <c r="AD1049" s="1187"/>
    </row>
    <row r="1050" spans="1:30" x14ac:dyDescent="0.2">
      <c r="A1050">
        <f t="shared" si="50"/>
        <v>28</v>
      </c>
      <c r="B1050">
        <v>1041</v>
      </c>
      <c r="C1050" s="1078">
        <v>2</v>
      </c>
      <c r="D1050" s="1077" t="s">
        <v>4551</v>
      </c>
      <c r="E1050" s="1077" t="s">
        <v>4554</v>
      </c>
      <c r="F1050" s="1185">
        <v>4</v>
      </c>
      <c r="G1050" s="1186">
        <v>8.1</v>
      </c>
      <c r="H1050" s="1186">
        <v>2.4</v>
      </c>
      <c r="I1050" s="1186">
        <v>10.99</v>
      </c>
      <c r="J1050" s="1186">
        <v>2.85</v>
      </c>
      <c r="K1050" s="1186">
        <v>7.11</v>
      </c>
      <c r="L1050" s="1186">
        <v>4.05</v>
      </c>
      <c r="M1050" s="1186">
        <v>5.1100000000000003</v>
      </c>
      <c r="N1050" s="1186">
        <v>4.9000000000000004</v>
      </c>
      <c r="O1050" s="1186"/>
      <c r="P1050" s="1186"/>
      <c r="Q1050" s="1186">
        <v>9.1999999999999993</v>
      </c>
      <c r="R1050" s="1186">
        <v>1.92</v>
      </c>
      <c r="S1050" s="1186">
        <v>5</v>
      </c>
      <c r="T1050" s="1186">
        <v>2.6</v>
      </c>
      <c r="U1050" s="1186"/>
      <c r="V1050" s="1186"/>
      <c r="W1050" s="1186"/>
      <c r="X1050" s="1186"/>
      <c r="Y1050" s="1186"/>
      <c r="Z1050" s="1186"/>
      <c r="AA1050" s="1186"/>
      <c r="AB1050" s="1186"/>
      <c r="AC1050" s="1186"/>
      <c r="AD1050" s="1187"/>
    </row>
    <row r="1051" spans="1:30" x14ac:dyDescent="0.2">
      <c r="A1051">
        <f t="shared" si="50"/>
        <v>28</v>
      </c>
      <c r="B1051">
        <v>1042</v>
      </c>
      <c r="C1051" s="1078">
        <v>2</v>
      </c>
      <c r="D1051" s="1077" t="s">
        <v>4551</v>
      </c>
      <c r="E1051" s="1077" t="s">
        <v>4555</v>
      </c>
      <c r="F1051" s="1185">
        <v>4</v>
      </c>
      <c r="G1051" s="1186">
        <v>10.050000000000001</v>
      </c>
      <c r="H1051" s="1186">
        <v>2.4</v>
      </c>
      <c r="I1051" s="1186">
        <v>12.45</v>
      </c>
      <c r="J1051" s="1186">
        <v>2.5499999999999998</v>
      </c>
      <c r="K1051" s="1186">
        <v>7.42</v>
      </c>
      <c r="L1051" s="1186">
        <v>4.03</v>
      </c>
      <c r="M1051" s="1186">
        <v>4.8</v>
      </c>
      <c r="N1051" s="1186">
        <v>4.82</v>
      </c>
      <c r="O1051" s="1186"/>
      <c r="P1051" s="1186"/>
      <c r="Q1051" s="1186">
        <v>10.7</v>
      </c>
      <c r="R1051" s="1186">
        <v>1.91</v>
      </c>
      <c r="S1051" s="1186">
        <v>4.2</v>
      </c>
      <c r="T1051" s="1186">
        <v>2.85</v>
      </c>
      <c r="U1051" s="1186"/>
      <c r="V1051" s="1186"/>
      <c r="W1051" s="1186"/>
      <c r="X1051" s="1186"/>
      <c r="Y1051" s="1186"/>
      <c r="Z1051" s="1186"/>
      <c r="AA1051" s="1186"/>
      <c r="AB1051" s="1186"/>
      <c r="AC1051" s="1186"/>
      <c r="AD1051" s="1187"/>
    </row>
    <row r="1052" spans="1:30" x14ac:dyDescent="0.2">
      <c r="A1052">
        <f t="shared" si="50"/>
        <v>28</v>
      </c>
      <c r="B1052">
        <v>1043</v>
      </c>
      <c r="C1052" s="1078">
        <v>3</v>
      </c>
      <c r="D1052" s="1077" t="s">
        <v>4551</v>
      </c>
      <c r="E1052" s="1077" t="s">
        <v>4556</v>
      </c>
      <c r="F1052" s="1185">
        <v>1</v>
      </c>
      <c r="G1052" s="1186"/>
      <c r="H1052" s="1186"/>
      <c r="I1052" s="1186"/>
      <c r="J1052" s="1186"/>
      <c r="K1052" s="1186"/>
      <c r="L1052" s="1186"/>
      <c r="M1052" s="1186"/>
      <c r="N1052" s="1186"/>
      <c r="O1052" s="1186"/>
      <c r="P1052" s="1186"/>
      <c r="Q1052" s="1186"/>
      <c r="R1052" s="1186"/>
      <c r="S1052" s="1186"/>
      <c r="T1052" s="1186"/>
      <c r="U1052" s="1186"/>
      <c r="V1052" s="1186"/>
      <c r="W1052" s="1186">
        <v>5.8</v>
      </c>
      <c r="X1052" s="1186">
        <v>4.4000000000000004</v>
      </c>
      <c r="Y1052" s="1186">
        <v>5.2</v>
      </c>
      <c r="Z1052" s="1186">
        <v>2.7</v>
      </c>
      <c r="AA1052" s="1186"/>
      <c r="AB1052" s="1186"/>
      <c r="AC1052" s="1186"/>
      <c r="AD1052" s="1187"/>
    </row>
    <row r="1053" spans="1:30" x14ac:dyDescent="0.2">
      <c r="A1053">
        <f t="shared" si="50"/>
        <v>28</v>
      </c>
      <c r="B1053">
        <v>1044</v>
      </c>
      <c r="C1053" s="1078">
        <v>3</v>
      </c>
      <c r="D1053" s="1077" t="s">
        <v>4551</v>
      </c>
      <c r="E1053" s="1077" t="s">
        <v>4557</v>
      </c>
      <c r="F1053" s="1185">
        <v>1</v>
      </c>
      <c r="G1053" s="1186"/>
      <c r="H1053" s="1186"/>
      <c r="I1053" s="1186"/>
      <c r="J1053" s="1186"/>
      <c r="K1053" s="1186"/>
      <c r="L1053" s="1186"/>
      <c r="M1053" s="1186"/>
      <c r="N1053" s="1186"/>
      <c r="O1053" s="1186"/>
      <c r="P1053" s="1186"/>
      <c r="Q1053" s="1186"/>
      <c r="R1053" s="1186"/>
      <c r="S1053" s="1186"/>
      <c r="T1053" s="1186"/>
      <c r="U1053" s="1186"/>
      <c r="V1053" s="1186"/>
      <c r="W1053" s="1186">
        <v>7.6</v>
      </c>
      <c r="X1053" s="1186">
        <v>4.7</v>
      </c>
      <c r="Y1053" s="1186">
        <v>7</v>
      </c>
      <c r="Z1053" s="1186">
        <v>2.8</v>
      </c>
      <c r="AA1053" s="1186"/>
      <c r="AB1053" s="1186"/>
      <c r="AC1053" s="1186"/>
      <c r="AD1053" s="1187"/>
    </row>
    <row r="1054" spans="1:30" x14ac:dyDescent="0.2">
      <c r="A1054">
        <f t="shared" si="50"/>
        <v>28</v>
      </c>
      <c r="B1054">
        <v>1045</v>
      </c>
      <c r="C1054" s="1078">
        <v>3</v>
      </c>
      <c r="D1054" s="1077" t="s">
        <v>4551</v>
      </c>
      <c r="E1054" s="1077" t="s">
        <v>4558</v>
      </c>
      <c r="F1054" s="1185">
        <v>1</v>
      </c>
      <c r="G1054" s="1186"/>
      <c r="H1054" s="1186"/>
      <c r="I1054" s="1186"/>
      <c r="J1054" s="1186"/>
      <c r="K1054" s="1186"/>
      <c r="L1054" s="1186"/>
      <c r="M1054" s="1186"/>
      <c r="N1054" s="1186"/>
      <c r="O1054" s="1186"/>
      <c r="P1054" s="1186"/>
      <c r="Q1054" s="1186"/>
      <c r="R1054" s="1186"/>
      <c r="S1054" s="1186"/>
      <c r="T1054" s="1186"/>
      <c r="U1054" s="1186"/>
      <c r="V1054" s="1186"/>
      <c r="W1054" s="1186">
        <v>10.4</v>
      </c>
      <c r="X1054" s="1186">
        <v>4.8</v>
      </c>
      <c r="Y1054" s="1186">
        <v>9.4</v>
      </c>
      <c r="Z1054" s="1186">
        <v>2.8</v>
      </c>
      <c r="AA1054" s="1186"/>
      <c r="AB1054" s="1186"/>
      <c r="AC1054" s="1186"/>
      <c r="AD1054" s="1187"/>
    </row>
    <row r="1055" spans="1:30" x14ac:dyDescent="0.2">
      <c r="A1055">
        <f t="shared" si="50"/>
        <v>28</v>
      </c>
      <c r="B1055">
        <v>1046</v>
      </c>
      <c r="C1055" s="1078">
        <v>3</v>
      </c>
      <c r="D1055" s="1077" t="s">
        <v>4551</v>
      </c>
      <c r="E1055" s="1077" t="s">
        <v>4559</v>
      </c>
      <c r="F1055" s="1185">
        <v>1</v>
      </c>
      <c r="G1055" s="1186"/>
      <c r="H1055" s="1186"/>
      <c r="I1055" s="1186"/>
      <c r="J1055" s="1186"/>
      <c r="K1055" s="1186"/>
      <c r="L1055" s="1186"/>
      <c r="M1055" s="1186"/>
      <c r="N1055" s="1186"/>
      <c r="O1055" s="1186"/>
      <c r="P1055" s="1186"/>
      <c r="Q1055" s="1186"/>
      <c r="R1055" s="1186"/>
      <c r="S1055" s="1186"/>
      <c r="T1055" s="1186"/>
      <c r="U1055" s="1186"/>
      <c r="V1055" s="1186"/>
      <c r="W1055" s="1186">
        <v>13.3</v>
      </c>
      <c r="X1055" s="1186">
        <v>4.8</v>
      </c>
      <c r="Y1055" s="1186">
        <v>12.1</v>
      </c>
      <c r="Z1055" s="1186">
        <v>2.8</v>
      </c>
      <c r="AA1055" s="1186"/>
      <c r="AB1055" s="1186"/>
      <c r="AC1055" s="1186"/>
      <c r="AD1055" s="1187"/>
    </row>
    <row r="1056" spans="1:30" x14ac:dyDescent="0.2">
      <c r="A1056">
        <f t="shared" si="50"/>
        <v>28</v>
      </c>
      <c r="B1056">
        <v>1047</v>
      </c>
      <c r="C1056" s="1078">
        <v>3</v>
      </c>
      <c r="D1056" s="1077" t="s">
        <v>4551</v>
      </c>
      <c r="E1056" s="1077" t="s">
        <v>4560</v>
      </c>
      <c r="F1056" s="1185">
        <v>1</v>
      </c>
      <c r="G1056" s="1186"/>
      <c r="H1056" s="1186"/>
      <c r="I1056" s="1186"/>
      <c r="J1056" s="1186"/>
      <c r="K1056" s="1186"/>
      <c r="L1056" s="1186"/>
      <c r="M1056" s="1186"/>
      <c r="N1056" s="1186"/>
      <c r="O1056" s="1186"/>
      <c r="P1056" s="1186"/>
      <c r="Q1056" s="1186"/>
      <c r="R1056" s="1186"/>
      <c r="S1056" s="1186"/>
      <c r="T1056" s="1186"/>
      <c r="U1056" s="1186"/>
      <c r="V1056" s="1186"/>
      <c r="W1056" s="1186">
        <v>17</v>
      </c>
      <c r="X1056" s="1186">
        <v>4.7</v>
      </c>
      <c r="Y1056" s="1186">
        <v>15.2</v>
      </c>
      <c r="Z1056" s="1186">
        <v>2.7</v>
      </c>
      <c r="AA1056" s="1186"/>
      <c r="AB1056" s="1186"/>
      <c r="AC1056" s="1186"/>
      <c r="AD1056" s="1187"/>
    </row>
    <row r="1057" spans="1:30" x14ac:dyDescent="0.2">
      <c r="A1057">
        <f t="shared" si="50"/>
        <v>28</v>
      </c>
      <c r="B1057">
        <v>1048</v>
      </c>
      <c r="C1057" s="1078">
        <v>4</v>
      </c>
      <c r="D1057" s="1077" t="s">
        <v>4551</v>
      </c>
      <c r="E1057" s="1077" t="s">
        <v>4556</v>
      </c>
      <c r="F1057" s="1185">
        <v>1</v>
      </c>
      <c r="G1057" s="1186"/>
      <c r="H1057" s="1186"/>
      <c r="I1057" s="1186"/>
      <c r="J1057" s="1186"/>
      <c r="K1057" s="1186"/>
      <c r="L1057" s="1186"/>
      <c r="M1057" s="1186"/>
      <c r="N1057" s="1186"/>
      <c r="O1057" s="1186"/>
      <c r="P1057" s="1186"/>
      <c r="Q1057" s="1186"/>
      <c r="R1057" s="1186"/>
      <c r="S1057" s="1186"/>
      <c r="T1057" s="1186"/>
      <c r="U1057" s="1186"/>
      <c r="V1057" s="1186"/>
      <c r="W1057" s="1186"/>
      <c r="X1057" s="1186"/>
      <c r="Y1057" s="1186"/>
      <c r="Z1057" s="1186"/>
      <c r="AA1057" s="1186">
        <v>7.6</v>
      </c>
      <c r="AB1057" s="1186">
        <v>5.9</v>
      </c>
      <c r="AC1057" s="1186">
        <v>6.9</v>
      </c>
      <c r="AD1057" s="1187">
        <v>3.4</v>
      </c>
    </row>
    <row r="1058" spans="1:30" x14ac:dyDescent="0.2">
      <c r="A1058">
        <f t="shared" si="50"/>
        <v>28</v>
      </c>
      <c r="B1058">
        <v>1049</v>
      </c>
      <c r="C1058" s="1078">
        <v>4</v>
      </c>
      <c r="D1058" s="1077" t="s">
        <v>4551</v>
      </c>
      <c r="E1058" s="1077" t="s">
        <v>4557</v>
      </c>
      <c r="F1058" s="1185">
        <v>1</v>
      </c>
      <c r="G1058" s="1186"/>
      <c r="H1058" s="1186"/>
      <c r="I1058" s="1186"/>
      <c r="J1058" s="1186"/>
      <c r="K1058" s="1186"/>
      <c r="L1058" s="1186"/>
      <c r="M1058" s="1186"/>
      <c r="N1058" s="1186"/>
      <c r="O1058" s="1186"/>
      <c r="P1058" s="1186"/>
      <c r="Q1058" s="1186"/>
      <c r="R1058" s="1186"/>
      <c r="S1058" s="1186"/>
      <c r="T1058" s="1186"/>
      <c r="U1058" s="1186"/>
      <c r="V1058" s="1186"/>
      <c r="W1058" s="1186"/>
      <c r="X1058" s="1186"/>
      <c r="Y1058" s="1186"/>
      <c r="Z1058" s="1186"/>
      <c r="AA1058" s="1186">
        <v>9.8000000000000007</v>
      </c>
      <c r="AB1058" s="1186">
        <v>5.9</v>
      </c>
      <c r="AC1058" s="1186">
        <v>9</v>
      </c>
      <c r="AD1058" s="1187">
        <v>3.4</v>
      </c>
    </row>
    <row r="1059" spans="1:30" x14ac:dyDescent="0.2">
      <c r="A1059">
        <f t="shared" si="50"/>
        <v>28</v>
      </c>
      <c r="B1059">
        <v>1050</v>
      </c>
      <c r="C1059" s="1078">
        <v>4</v>
      </c>
      <c r="D1059" s="1077" t="s">
        <v>4551</v>
      </c>
      <c r="E1059" s="1077" t="s">
        <v>4558</v>
      </c>
      <c r="F1059" s="1185">
        <v>1</v>
      </c>
      <c r="G1059" s="1186"/>
      <c r="H1059" s="1186"/>
      <c r="I1059" s="1186"/>
      <c r="J1059" s="1186"/>
      <c r="K1059" s="1186"/>
      <c r="L1059" s="1186"/>
      <c r="M1059" s="1186"/>
      <c r="N1059" s="1186"/>
      <c r="O1059" s="1186"/>
      <c r="P1059" s="1186"/>
      <c r="Q1059" s="1186"/>
      <c r="R1059" s="1186"/>
      <c r="S1059" s="1186"/>
      <c r="T1059" s="1186"/>
      <c r="U1059" s="1186"/>
      <c r="V1059" s="1186"/>
      <c r="W1059" s="1186"/>
      <c r="X1059" s="1186"/>
      <c r="Y1059" s="1186"/>
      <c r="Z1059" s="1186"/>
      <c r="AA1059" s="1186">
        <v>13.4</v>
      </c>
      <c r="AB1059" s="1186">
        <v>6.2</v>
      </c>
      <c r="AC1059" s="1186">
        <v>12</v>
      </c>
      <c r="AD1059" s="1187">
        <v>3.6</v>
      </c>
    </row>
    <row r="1060" spans="1:30" x14ac:dyDescent="0.2">
      <c r="A1060">
        <f t="shared" si="50"/>
        <v>28</v>
      </c>
      <c r="B1060">
        <v>1051</v>
      </c>
      <c r="C1060" s="1078">
        <v>4</v>
      </c>
      <c r="D1060" s="1077" t="s">
        <v>4551</v>
      </c>
      <c r="E1060" s="1077" t="s">
        <v>4559</v>
      </c>
      <c r="F1060" s="1185">
        <v>1</v>
      </c>
      <c r="G1060" s="1186"/>
      <c r="H1060" s="1186"/>
      <c r="I1060" s="1186"/>
      <c r="J1060" s="1186"/>
      <c r="K1060" s="1186"/>
      <c r="L1060" s="1186"/>
      <c r="M1060" s="1186"/>
      <c r="N1060" s="1186"/>
      <c r="O1060" s="1186"/>
      <c r="P1060" s="1186"/>
      <c r="Q1060" s="1186"/>
      <c r="R1060" s="1186"/>
      <c r="S1060" s="1186"/>
      <c r="T1060" s="1186"/>
      <c r="U1060" s="1186"/>
      <c r="V1060" s="1186"/>
      <c r="W1060" s="1186"/>
      <c r="X1060" s="1186"/>
      <c r="Y1060" s="1186"/>
      <c r="Z1060" s="1186"/>
      <c r="AA1060" s="1186">
        <v>17.3</v>
      </c>
      <c r="AB1060" s="1186">
        <v>6.2</v>
      </c>
      <c r="AC1060" s="1186">
        <v>15.6</v>
      </c>
      <c r="AD1060" s="1187">
        <v>3.8</v>
      </c>
    </row>
    <row r="1061" spans="1:30" x14ac:dyDescent="0.2">
      <c r="A1061">
        <f t="shared" si="50"/>
        <v>28</v>
      </c>
      <c r="B1061">
        <v>1052</v>
      </c>
      <c r="C1061" s="1078">
        <v>4</v>
      </c>
      <c r="D1061" s="1077" t="s">
        <v>4551</v>
      </c>
      <c r="E1061" s="1077" t="s">
        <v>4560</v>
      </c>
      <c r="F1061" s="1185">
        <v>1</v>
      </c>
      <c r="G1061" s="1186"/>
      <c r="H1061" s="1186"/>
      <c r="I1061" s="1186"/>
      <c r="J1061" s="1186"/>
      <c r="K1061" s="1186"/>
      <c r="L1061" s="1186"/>
      <c r="M1061" s="1186"/>
      <c r="N1061" s="1186"/>
      <c r="O1061" s="1186"/>
      <c r="P1061" s="1186"/>
      <c r="Q1061" s="1186"/>
      <c r="R1061" s="1186"/>
      <c r="S1061" s="1186"/>
      <c r="T1061" s="1186"/>
      <c r="U1061" s="1186"/>
      <c r="V1061" s="1186"/>
      <c r="W1061" s="1186"/>
      <c r="X1061" s="1186"/>
      <c r="Y1061" s="1186"/>
      <c r="Z1061" s="1186"/>
      <c r="AA1061" s="1186">
        <v>21.5</v>
      </c>
      <c r="AB1061" s="1186">
        <v>5.8</v>
      </c>
      <c r="AC1061" s="1186">
        <v>19.399999999999999</v>
      </c>
      <c r="AD1061" s="1187">
        <v>3.4</v>
      </c>
    </row>
    <row r="1062" spans="1:30" x14ac:dyDescent="0.2">
      <c r="A1062">
        <f t="shared" si="50"/>
        <v>28</v>
      </c>
      <c r="B1062">
        <v>1053</v>
      </c>
      <c r="C1062" s="1078">
        <v>3</v>
      </c>
      <c r="D1062" s="1077" t="s">
        <v>4551</v>
      </c>
      <c r="E1062" s="1077" t="s">
        <v>4561</v>
      </c>
      <c r="F1062" s="1185">
        <v>2</v>
      </c>
      <c r="G1062" s="1186"/>
      <c r="H1062" s="1186"/>
      <c r="I1062" s="1186"/>
      <c r="J1062" s="1186"/>
      <c r="K1062" s="1186"/>
      <c r="L1062" s="1186"/>
      <c r="M1062" s="1186"/>
      <c r="N1062" s="1186"/>
      <c r="O1062" s="1186"/>
      <c r="P1062" s="1186"/>
      <c r="Q1062" s="1186"/>
      <c r="R1062" s="1186"/>
      <c r="S1062" s="1186"/>
      <c r="T1062" s="1186"/>
      <c r="U1062" s="1186"/>
      <c r="V1062" s="1186"/>
      <c r="W1062" s="1186">
        <v>22.9</v>
      </c>
      <c r="X1062" s="1186">
        <v>4.5999999999999996</v>
      </c>
      <c r="Y1062" s="1186">
        <v>23.3</v>
      </c>
      <c r="Z1062" s="1186">
        <v>3</v>
      </c>
      <c r="AA1062" s="1186"/>
      <c r="AB1062" s="1186"/>
      <c r="AC1062" s="1186"/>
      <c r="AD1062" s="1187"/>
    </row>
    <row r="1063" spans="1:30" x14ac:dyDescent="0.2">
      <c r="A1063">
        <f t="shared" si="50"/>
        <v>28</v>
      </c>
      <c r="B1063">
        <v>1054</v>
      </c>
      <c r="C1063" s="1078">
        <v>3</v>
      </c>
      <c r="D1063" s="1077" t="s">
        <v>4551</v>
      </c>
      <c r="E1063" s="1077" t="s">
        <v>4562</v>
      </c>
      <c r="F1063" s="1185">
        <v>2</v>
      </c>
      <c r="G1063" s="1186"/>
      <c r="H1063" s="1186"/>
      <c r="I1063" s="1186"/>
      <c r="J1063" s="1186"/>
      <c r="K1063" s="1186"/>
      <c r="L1063" s="1186"/>
      <c r="M1063" s="1186"/>
      <c r="N1063" s="1186"/>
      <c r="O1063" s="1186"/>
      <c r="P1063" s="1186"/>
      <c r="Q1063" s="1186"/>
      <c r="R1063" s="1186"/>
      <c r="S1063" s="1186"/>
      <c r="T1063" s="1186"/>
      <c r="U1063" s="1186"/>
      <c r="V1063" s="1186"/>
      <c r="W1063" s="1186">
        <v>28.9</v>
      </c>
      <c r="X1063" s="1186">
        <v>4.5999999999999996</v>
      </c>
      <c r="Y1063" s="1186">
        <v>29.8</v>
      </c>
      <c r="Z1063" s="1186">
        <v>3.1</v>
      </c>
      <c r="AA1063" s="1186"/>
      <c r="AB1063" s="1186"/>
      <c r="AC1063" s="1186"/>
      <c r="AD1063" s="1187"/>
    </row>
    <row r="1064" spans="1:30" x14ac:dyDescent="0.2">
      <c r="A1064">
        <f t="shared" si="50"/>
        <v>28</v>
      </c>
      <c r="B1064">
        <v>1055</v>
      </c>
      <c r="C1064" s="1078">
        <v>3</v>
      </c>
      <c r="D1064" s="1077" t="s">
        <v>4551</v>
      </c>
      <c r="E1064" s="1077" t="s">
        <v>4563</v>
      </c>
      <c r="F1064" s="1185">
        <v>2</v>
      </c>
      <c r="G1064" s="1186"/>
      <c r="H1064" s="1186"/>
      <c r="I1064" s="1186"/>
      <c r="J1064" s="1186"/>
      <c r="K1064" s="1186"/>
      <c r="L1064" s="1186"/>
      <c r="M1064" s="1186"/>
      <c r="N1064" s="1186"/>
      <c r="O1064" s="1186"/>
      <c r="P1064" s="1186"/>
      <c r="Q1064" s="1186"/>
      <c r="R1064" s="1186"/>
      <c r="S1064" s="1186"/>
      <c r="T1064" s="1186"/>
      <c r="U1064" s="1186"/>
      <c r="V1064" s="1186"/>
      <c r="W1064" s="1186">
        <v>38.700000000000003</v>
      </c>
      <c r="X1064" s="1186">
        <v>4.5</v>
      </c>
      <c r="Y1064" s="1186">
        <v>39.1</v>
      </c>
      <c r="Z1064" s="1186">
        <v>3.1</v>
      </c>
      <c r="AA1064" s="1186"/>
      <c r="AB1064" s="1186"/>
      <c r="AC1064" s="1186"/>
      <c r="AD1064" s="1187"/>
    </row>
    <row r="1065" spans="1:30" x14ac:dyDescent="0.2">
      <c r="A1065">
        <f t="shared" si="50"/>
        <v>28</v>
      </c>
      <c r="B1065">
        <v>1056</v>
      </c>
      <c r="C1065" s="1078">
        <v>3</v>
      </c>
      <c r="D1065" s="1077" t="s">
        <v>4551</v>
      </c>
      <c r="E1065" s="1077" t="s">
        <v>4564</v>
      </c>
      <c r="F1065" s="1185">
        <v>2</v>
      </c>
      <c r="G1065" s="1186"/>
      <c r="H1065" s="1186"/>
      <c r="I1065" s="1186"/>
      <c r="J1065" s="1186"/>
      <c r="K1065" s="1186"/>
      <c r="L1065" s="1186"/>
      <c r="M1065" s="1186"/>
      <c r="N1065" s="1186"/>
      <c r="O1065" s="1186"/>
      <c r="P1065" s="1186"/>
      <c r="Q1065" s="1186"/>
      <c r="R1065" s="1186"/>
      <c r="S1065" s="1186"/>
      <c r="T1065" s="1186"/>
      <c r="U1065" s="1186"/>
      <c r="V1065" s="1186"/>
      <c r="W1065" s="1186">
        <v>47.5</v>
      </c>
      <c r="X1065" s="1186">
        <v>4.4000000000000004</v>
      </c>
      <c r="Y1065" s="1186">
        <v>47.7</v>
      </c>
      <c r="Z1065" s="1186">
        <v>3.1</v>
      </c>
      <c r="AA1065" s="1186"/>
      <c r="AB1065" s="1186"/>
      <c r="AC1065" s="1186"/>
      <c r="AD1065" s="1187"/>
    </row>
    <row r="1066" spans="1:30" x14ac:dyDescent="0.2">
      <c r="A1066">
        <f t="shared" si="50"/>
        <v>28</v>
      </c>
      <c r="B1066">
        <v>1057</v>
      </c>
      <c r="C1066" s="1078">
        <v>3</v>
      </c>
      <c r="D1066" s="1077" t="s">
        <v>4551</v>
      </c>
      <c r="E1066" s="1077" t="s">
        <v>4565</v>
      </c>
      <c r="F1066" s="1185">
        <v>2</v>
      </c>
      <c r="G1066" s="1186"/>
      <c r="H1066" s="1186"/>
      <c r="I1066" s="1186"/>
      <c r="J1066" s="1186"/>
      <c r="K1066" s="1186"/>
      <c r="L1066" s="1186"/>
      <c r="M1066" s="1186"/>
      <c r="N1066" s="1186"/>
      <c r="O1066" s="1186"/>
      <c r="P1066" s="1186"/>
      <c r="Q1066" s="1186"/>
      <c r="R1066" s="1186"/>
      <c r="S1066" s="1186"/>
      <c r="T1066" s="1186"/>
      <c r="U1066" s="1186"/>
      <c r="V1066" s="1186"/>
      <c r="W1066" s="1186">
        <v>54.2</v>
      </c>
      <c r="X1066" s="1186">
        <v>4.5</v>
      </c>
      <c r="Y1066" s="1186">
        <v>56.8</v>
      </c>
      <c r="Z1066" s="1186">
        <v>3.1</v>
      </c>
      <c r="AA1066" s="1186"/>
      <c r="AB1066" s="1186"/>
      <c r="AC1066" s="1186"/>
      <c r="AD1066" s="1187"/>
    </row>
    <row r="1067" spans="1:30" x14ac:dyDescent="0.2">
      <c r="A1067">
        <f t="shared" si="50"/>
        <v>28</v>
      </c>
      <c r="B1067">
        <v>1058</v>
      </c>
      <c r="C1067" s="1078">
        <v>3</v>
      </c>
      <c r="D1067" s="1077" t="s">
        <v>4551</v>
      </c>
      <c r="E1067" s="1077" t="s">
        <v>4566</v>
      </c>
      <c r="F1067" s="1185">
        <v>2</v>
      </c>
      <c r="G1067" s="1186"/>
      <c r="H1067" s="1186"/>
      <c r="I1067" s="1186"/>
      <c r="J1067" s="1186"/>
      <c r="K1067" s="1186"/>
      <c r="L1067" s="1186"/>
      <c r="M1067" s="1186"/>
      <c r="N1067" s="1186"/>
      <c r="O1067" s="1186"/>
      <c r="P1067" s="1186"/>
      <c r="Q1067" s="1186"/>
      <c r="R1067" s="1186"/>
      <c r="S1067" s="1186"/>
      <c r="T1067" s="1186"/>
      <c r="U1067" s="1186"/>
      <c r="V1067" s="1186"/>
      <c r="W1067" s="1186">
        <v>63.9</v>
      </c>
      <c r="X1067" s="1186">
        <v>4.4000000000000004</v>
      </c>
      <c r="Y1067" s="1186">
        <v>64.8</v>
      </c>
      <c r="Z1067" s="1186">
        <v>3</v>
      </c>
      <c r="AA1067" s="1186"/>
      <c r="AB1067" s="1186"/>
      <c r="AC1067" s="1186"/>
      <c r="AD1067" s="1187"/>
    </row>
    <row r="1068" spans="1:30" x14ac:dyDescent="0.2">
      <c r="A1068">
        <f t="shared" si="50"/>
        <v>28</v>
      </c>
      <c r="B1068">
        <v>1059</v>
      </c>
      <c r="C1068" s="1078">
        <v>3</v>
      </c>
      <c r="D1068" s="1077" t="s">
        <v>4551</v>
      </c>
      <c r="E1068" s="1077" t="s">
        <v>4567</v>
      </c>
      <c r="F1068" s="1185">
        <v>2</v>
      </c>
      <c r="G1068" s="1186"/>
      <c r="H1068" s="1186"/>
      <c r="I1068" s="1186"/>
      <c r="J1068" s="1186"/>
      <c r="K1068" s="1186"/>
      <c r="L1068" s="1186"/>
      <c r="M1068" s="1186"/>
      <c r="N1068" s="1186"/>
      <c r="O1068" s="1186"/>
      <c r="P1068" s="1186"/>
      <c r="Q1068" s="1186"/>
      <c r="R1068" s="1186"/>
      <c r="S1068" s="1186"/>
      <c r="T1068" s="1186"/>
      <c r="U1068" s="1186"/>
      <c r="V1068" s="1186"/>
      <c r="W1068" s="1186">
        <v>72.8</v>
      </c>
      <c r="X1068" s="1186">
        <v>4.4000000000000004</v>
      </c>
      <c r="Y1068" s="1186">
        <v>74.099999999999994</v>
      </c>
      <c r="Z1068" s="1186">
        <v>3</v>
      </c>
      <c r="AA1068" s="1186"/>
      <c r="AB1068" s="1186"/>
      <c r="AC1068" s="1186"/>
      <c r="AD1068" s="1187"/>
    </row>
    <row r="1069" spans="1:30" x14ac:dyDescent="0.2">
      <c r="A1069">
        <f t="shared" si="50"/>
        <v>28</v>
      </c>
      <c r="B1069">
        <v>1060</v>
      </c>
      <c r="C1069" s="1078">
        <v>3</v>
      </c>
      <c r="D1069" s="1077" t="s">
        <v>4551</v>
      </c>
      <c r="E1069" s="1077" t="s">
        <v>4568</v>
      </c>
      <c r="F1069" s="1185">
        <v>2</v>
      </c>
      <c r="G1069" s="1186"/>
      <c r="H1069" s="1186"/>
      <c r="I1069" s="1186"/>
      <c r="J1069" s="1186"/>
      <c r="K1069" s="1186"/>
      <c r="L1069" s="1186"/>
      <c r="M1069" s="1186"/>
      <c r="N1069" s="1186"/>
      <c r="O1069" s="1186"/>
      <c r="P1069" s="1186"/>
      <c r="Q1069" s="1186"/>
      <c r="R1069" s="1186"/>
      <c r="S1069" s="1186"/>
      <c r="T1069" s="1186"/>
      <c r="U1069" s="1186"/>
      <c r="V1069" s="1186"/>
      <c r="W1069" s="1186">
        <v>78.5</v>
      </c>
      <c r="X1069" s="1186">
        <v>4.3</v>
      </c>
      <c r="Y1069" s="1186">
        <v>80.099999999999994</v>
      </c>
      <c r="Z1069" s="1186">
        <v>3</v>
      </c>
      <c r="AA1069" s="1186"/>
      <c r="AB1069" s="1186"/>
      <c r="AC1069" s="1186"/>
      <c r="AD1069" s="1187"/>
    </row>
    <row r="1070" spans="1:30" x14ac:dyDescent="0.2">
      <c r="A1070">
        <f t="shared" si="50"/>
        <v>28</v>
      </c>
      <c r="B1070">
        <v>1061</v>
      </c>
      <c r="C1070" s="1078">
        <v>4</v>
      </c>
      <c r="D1070" s="1077" t="s">
        <v>4551</v>
      </c>
      <c r="E1070" s="1077" t="s">
        <v>4561</v>
      </c>
      <c r="F1070" s="1185">
        <v>2</v>
      </c>
      <c r="G1070" s="1186"/>
      <c r="H1070" s="1186"/>
      <c r="I1070" s="1186"/>
      <c r="J1070" s="1186"/>
      <c r="K1070" s="1186"/>
      <c r="L1070" s="1186"/>
      <c r="M1070" s="1186"/>
      <c r="N1070" s="1186"/>
      <c r="O1070" s="1186"/>
      <c r="P1070" s="1186"/>
      <c r="Q1070" s="1186"/>
      <c r="R1070" s="1186"/>
      <c r="S1070" s="1186"/>
      <c r="T1070" s="1186"/>
      <c r="U1070" s="1186"/>
      <c r="V1070" s="1186"/>
      <c r="W1070" s="1186"/>
      <c r="X1070" s="1186"/>
      <c r="Y1070" s="1186"/>
      <c r="Z1070" s="1186"/>
      <c r="AA1070" s="1186">
        <v>28.3</v>
      </c>
      <c r="AB1070" s="1186">
        <v>5.8</v>
      </c>
      <c r="AC1070" s="1186">
        <v>28.7</v>
      </c>
      <c r="AD1070" s="1187">
        <v>3.7</v>
      </c>
    </row>
    <row r="1071" spans="1:30" x14ac:dyDescent="0.2">
      <c r="A1071">
        <f t="shared" si="50"/>
        <v>28</v>
      </c>
      <c r="B1071">
        <v>1062</v>
      </c>
      <c r="C1071" s="1078">
        <v>4</v>
      </c>
      <c r="D1071" s="1077" t="s">
        <v>4551</v>
      </c>
      <c r="E1071" s="1077" t="s">
        <v>4562</v>
      </c>
      <c r="F1071" s="1185">
        <v>2</v>
      </c>
      <c r="G1071" s="1186"/>
      <c r="H1071" s="1186"/>
      <c r="I1071" s="1186"/>
      <c r="J1071" s="1186"/>
      <c r="K1071" s="1186"/>
      <c r="L1071" s="1186"/>
      <c r="M1071" s="1186"/>
      <c r="N1071" s="1186"/>
      <c r="O1071" s="1186"/>
      <c r="P1071" s="1186"/>
      <c r="Q1071" s="1186"/>
      <c r="R1071" s="1186"/>
      <c r="S1071" s="1186"/>
      <c r="T1071" s="1186"/>
      <c r="U1071" s="1186"/>
      <c r="V1071" s="1186"/>
      <c r="W1071" s="1186"/>
      <c r="X1071" s="1186"/>
      <c r="Y1071" s="1186"/>
      <c r="Z1071" s="1186"/>
      <c r="AA1071" s="1186">
        <v>36.9</v>
      </c>
      <c r="AB1071" s="1186">
        <v>5.8</v>
      </c>
      <c r="AC1071" s="1186">
        <v>36.200000000000003</v>
      </c>
      <c r="AD1071" s="1187">
        <v>3.7</v>
      </c>
    </row>
    <row r="1072" spans="1:30" x14ac:dyDescent="0.2">
      <c r="A1072">
        <f t="shared" si="50"/>
        <v>28</v>
      </c>
      <c r="B1072">
        <v>1063</v>
      </c>
      <c r="C1072" s="1078">
        <v>4</v>
      </c>
      <c r="D1072" s="1077" t="s">
        <v>4551</v>
      </c>
      <c r="E1072" s="1077" t="s">
        <v>4563</v>
      </c>
      <c r="F1072" s="1185">
        <v>2</v>
      </c>
      <c r="G1072" s="1186"/>
      <c r="H1072" s="1186"/>
      <c r="I1072" s="1186"/>
      <c r="J1072" s="1186"/>
      <c r="K1072" s="1186"/>
      <c r="L1072" s="1186"/>
      <c r="M1072" s="1186"/>
      <c r="N1072" s="1186"/>
      <c r="O1072" s="1186"/>
      <c r="P1072" s="1186"/>
      <c r="Q1072" s="1186"/>
      <c r="R1072" s="1186"/>
      <c r="S1072" s="1186"/>
      <c r="T1072" s="1186"/>
      <c r="U1072" s="1186"/>
      <c r="V1072" s="1186"/>
      <c r="W1072" s="1186"/>
      <c r="X1072" s="1186"/>
      <c r="Y1072" s="1186"/>
      <c r="Z1072" s="1186"/>
      <c r="AA1072" s="1186">
        <v>47.7</v>
      </c>
      <c r="AB1072" s="1186">
        <v>5.6</v>
      </c>
      <c r="AC1072" s="1186">
        <v>48.6</v>
      </c>
      <c r="AD1072" s="1187">
        <v>3.7</v>
      </c>
    </row>
    <row r="1073" spans="1:30" x14ac:dyDescent="0.2">
      <c r="A1073">
        <f t="shared" si="50"/>
        <v>28</v>
      </c>
      <c r="B1073">
        <v>1064</v>
      </c>
      <c r="C1073" s="1078">
        <v>4</v>
      </c>
      <c r="D1073" s="1077" t="s">
        <v>4551</v>
      </c>
      <c r="E1073" s="1077" t="s">
        <v>4564</v>
      </c>
      <c r="F1073" s="1185">
        <v>2</v>
      </c>
      <c r="G1073" s="1186"/>
      <c r="H1073" s="1186"/>
      <c r="I1073" s="1186"/>
      <c r="J1073" s="1186"/>
      <c r="K1073" s="1186"/>
      <c r="L1073" s="1186"/>
      <c r="M1073" s="1186"/>
      <c r="N1073" s="1186"/>
      <c r="O1073" s="1186"/>
      <c r="P1073" s="1186"/>
      <c r="Q1073" s="1186"/>
      <c r="R1073" s="1186"/>
      <c r="S1073" s="1186"/>
      <c r="T1073" s="1186"/>
      <c r="U1073" s="1186"/>
      <c r="V1073" s="1186"/>
      <c r="W1073" s="1186"/>
      <c r="X1073" s="1186"/>
      <c r="Y1073" s="1186"/>
      <c r="Z1073" s="1186"/>
      <c r="AA1073" s="1186">
        <v>60.9</v>
      </c>
      <c r="AB1073" s="1186">
        <v>5.5</v>
      </c>
      <c r="AC1073" s="1186">
        <v>59.8</v>
      </c>
      <c r="AD1073" s="1187">
        <v>3.7</v>
      </c>
    </row>
    <row r="1074" spans="1:30" x14ac:dyDescent="0.2">
      <c r="A1074">
        <f t="shared" si="50"/>
        <v>28</v>
      </c>
      <c r="B1074">
        <v>1065</v>
      </c>
      <c r="C1074" s="1078">
        <v>4</v>
      </c>
      <c r="D1074" s="1077" t="s">
        <v>4551</v>
      </c>
      <c r="E1074" s="1077" t="s">
        <v>4565</v>
      </c>
      <c r="F1074" s="1185">
        <v>2</v>
      </c>
      <c r="G1074" s="1186"/>
      <c r="H1074" s="1186"/>
      <c r="I1074" s="1186"/>
      <c r="J1074" s="1186"/>
      <c r="K1074" s="1186"/>
      <c r="L1074" s="1186"/>
      <c r="M1074" s="1186"/>
      <c r="N1074" s="1186"/>
      <c r="O1074" s="1186"/>
      <c r="P1074" s="1186"/>
      <c r="Q1074" s="1186"/>
      <c r="R1074" s="1186"/>
      <c r="S1074" s="1186"/>
      <c r="T1074" s="1186"/>
      <c r="U1074" s="1186"/>
      <c r="V1074" s="1186"/>
      <c r="W1074" s="1186"/>
      <c r="X1074" s="1186"/>
      <c r="Y1074" s="1186"/>
      <c r="Z1074" s="1186"/>
      <c r="AA1074" s="1186">
        <v>66.2</v>
      </c>
      <c r="AB1074" s="1186">
        <v>5.9</v>
      </c>
      <c r="AC1074" s="1186">
        <v>66.099999999999994</v>
      </c>
      <c r="AD1074" s="1187">
        <v>3.6</v>
      </c>
    </row>
    <row r="1075" spans="1:30" x14ac:dyDescent="0.2">
      <c r="A1075">
        <f t="shared" si="50"/>
        <v>28</v>
      </c>
      <c r="B1075">
        <v>1066</v>
      </c>
      <c r="C1075" s="1078">
        <v>4</v>
      </c>
      <c r="D1075" s="1077" t="s">
        <v>4551</v>
      </c>
      <c r="E1075" s="1077" t="s">
        <v>4566</v>
      </c>
      <c r="F1075" s="1185">
        <v>2</v>
      </c>
      <c r="G1075" s="1186"/>
      <c r="H1075" s="1186"/>
      <c r="I1075" s="1186"/>
      <c r="J1075" s="1186"/>
      <c r="K1075" s="1186"/>
      <c r="L1075" s="1186"/>
      <c r="M1075" s="1186"/>
      <c r="N1075" s="1186"/>
      <c r="O1075" s="1186"/>
      <c r="P1075" s="1186"/>
      <c r="Q1075" s="1186"/>
      <c r="R1075" s="1186"/>
      <c r="S1075" s="1186"/>
      <c r="T1075" s="1186"/>
      <c r="U1075" s="1186"/>
      <c r="V1075" s="1186"/>
      <c r="W1075" s="1186"/>
      <c r="X1075" s="1186"/>
      <c r="Y1075" s="1186"/>
      <c r="Z1075" s="1186"/>
      <c r="AA1075" s="1186">
        <v>79.5</v>
      </c>
      <c r="AB1075" s="1186">
        <v>5.4</v>
      </c>
      <c r="AC1075" s="1186">
        <v>80.7</v>
      </c>
      <c r="AD1075" s="1187">
        <v>3.7</v>
      </c>
    </row>
    <row r="1076" spans="1:30" x14ac:dyDescent="0.2">
      <c r="A1076">
        <f t="shared" si="50"/>
        <v>28</v>
      </c>
      <c r="B1076">
        <v>1067</v>
      </c>
      <c r="C1076" s="1078">
        <v>4</v>
      </c>
      <c r="D1076" s="1077" t="s">
        <v>4551</v>
      </c>
      <c r="E1076" s="1077" t="s">
        <v>4567</v>
      </c>
      <c r="F1076" s="1185">
        <v>2</v>
      </c>
      <c r="G1076" s="1186"/>
      <c r="H1076" s="1186"/>
      <c r="I1076" s="1186"/>
      <c r="J1076" s="1186"/>
      <c r="K1076" s="1186"/>
      <c r="L1076" s="1186"/>
      <c r="M1076" s="1186"/>
      <c r="N1076" s="1186"/>
      <c r="O1076" s="1186"/>
      <c r="P1076" s="1186"/>
      <c r="Q1076" s="1186"/>
      <c r="R1076" s="1186"/>
      <c r="S1076" s="1186"/>
      <c r="T1076" s="1186"/>
      <c r="U1076" s="1186"/>
      <c r="V1076" s="1186"/>
      <c r="W1076" s="1186"/>
      <c r="X1076" s="1186"/>
      <c r="Y1076" s="1186"/>
      <c r="Z1076" s="1186"/>
      <c r="AA1076" s="1186">
        <v>87.4</v>
      </c>
      <c r="AB1076" s="1186">
        <v>5.6</v>
      </c>
      <c r="AC1076" s="1186">
        <v>91.8</v>
      </c>
      <c r="AD1076" s="1187">
        <v>3.7</v>
      </c>
    </row>
    <row r="1077" spans="1:30" x14ac:dyDescent="0.2">
      <c r="A1077">
        <f t="shared" si="50"/>
        <v>28</v>
      </c>
      <c r="B1077">
        <v>1068</v>
      </c>
      <c r="C1077" s="1078">
        <v>4</v>
      </c>
      <c r="D1077" s="1077" t="s">
        <v>4551</v>
      </c>
      <c r="E1077" s="1077" t="s">
        <v>4568</v>
      </c>
      <c r="F1077" s="1185">
        <v>2</v>
      </c>
      <c r="G1077" s="1186"/>
      <c r="H1077" s="1186"/>
      <c r="I1077" s="1186"/>
      <c r="J1077" s="1186"/>
      <c r="K1077" s="1186"/>
      <c r="L1077" s="1186"/>
      <c r="M1077" s="1186"/>
      <c r="N1077" s="1186"/>
      <c r="O1077" s="1186"/>
      <c r="P1077" s="1186"/>
      <c r="Q1077" s="1186"/>
      <c r="R1077" s="1186"/>
      <c r="S1077" s="1186"/>
      <c r="T1077" s="1186"/>
      <c r="U1077" s="1186"/>
      <c r="V1077" s="1186"/>
      <c r="W1077" s="1186"/>
      <c r="X1077" s="1186"/>
      <c r="Y1077" s="1186"/>
      <c r="Z1077" s="1186"/>
      <c r="AA1077" s="1186">
        <v>100.4</v>
      </c>
      <c r="AB1077" s="1186">
        <v>5.6</v>
      </c>
      <c r="AC1077" s="1186">
        <v>101.8</v>
      </c>
      <c r="AD1077" s="1187">
        <v>3.8</v>
      </c>
    </row>
    <row r="1078" spans="1:30" x14ac:dyDescent="0.2">
      <c r="A1078">
        <f t="shared" si="50"/>
        <v>28</v>
      </c>
      <c r="B1078">
        <v>1069</v>
      </c>
      <c r="C1078" s="1078">
        <v>2</v>
      </c>
      <c r="D1078" s="1077" t="s">
        <v>4551</v>
      </c>
      <c r="E1078" s="1077" t="s">
        <v>5327</v>
      </c>
      <c r="F1078" s="1185">
        <v>4</v>
      </c>
      <c r="G1078" s="1186">
        <v>5.8264080000000007</v>
      </c>
      <c r="H1078" s="1186">
        <v>2.2120000000000002</v>
      </c>
      <c r="I1078" s="1186">
        <v>6.7052413345894148</v>
      </c>
      <c r="J1078" s="1186">
        <v>2.351227036898357</v>
      </c>
      <c r="K1078" s="1186">
        <v>2.8608949158282502</v>
      </c>
      <c r="L1078" s="1186">
        <v>4.0401774078530952</v>
      </c>
      <c r="M1078" s="1186">
        <v>2.8397779000000001</v>
      </c>
      <c r="N1078" s="1186">
        <v>4.8229999999999995</v>
      </c>
      <c r="O1078" s="1186">
        <v>3.5017450000000001</v>
      </c>
      <c r="P1078" s="1186">
        <v>6.3380000000000001</v>
      </c>
      <c r="Q1078" s="1186">
        <v>5.0279520000000009</v>
      </c>
      <c r="R1078" s="1186">
        <v>1.841</v>
      </c>
      <c r="S1078" s="1186">
        <v>2.1887999999999996</v>
      </c>
      <c r="T1078" s="1186">
        <v>2.2799999999999998</v>
      </c>
      <c r="U1078" s="1186">
        <v>3.2836041000000002</v>
      </c>
      <c r="V1078" s="1186">
        <v>3.5070000000000001</v>
      </c>
      <c r="W1078" s="1186"/>
      <c r="X1078" s="1186"/>
      <c r="Y1078" s="1186"/>
      <c r="Z1078" s="1186"/>
      <c r="AA1078" s="1186"/>
      <c r="AB1078" s="1186"/>
      <c r="AC1078" s="1186"/>
      <c r="AD1078" s="1187"/>
    </row>
    <row r="1079" spans="1:30" x14ac:dyDescent="0.2">
      <c r="A1079">
        <f t="shared" si="50"/>
        <v>28</v>
      </c>
      <c r="B1079">
        <v>1070</v>
      </c>
      <c r="C1079" s="1078">
        <v>2</v>
      </c>
      <c r="D1079" s="1077" t="s">
        <v>4551</v>
      </c>
      <c r="E1079" s="1077" t="s">
        <v>5328</v>
      </c>
      <c r="F1079" s="1185">
        <v>4</v>
      </c>
      <c r="G1079" s="1186">
        <v>8.8000000000000007</v>
      </c>
      <c r="H1079" s="1186">
        <v>2.5</v>
      </c>
      <c r="I1079" s="1186">
        <v>9.8000000000000007</v>
      </c>
      <c r="J1079" s="1186">
        <v>2.6</v>
      </c>
      <c r="K1079" s="1186">
        <v>4.5999999999999996</v>
      </c>
      <c r="L1079" s="1186">
        <v>4.4000000000000004</v>
      </c>
      <c r="M1079" s="1186">
        <v>5.6</v>
      </c>
      <c r="N1079" s="1186">
        <v>4.8</v>
      </c>
      <c r="O1079" s="1186">
        <v>5.2</v>
      </c>
      <c r="P1079" s="1186">
        <v>6.7</v>
      </c>
      <c r="Q1079" s="1186">
        <v>9.5</v>
      </c>
      <c r="R1079" s="1186">
        <v>1.9</v>
      </c>
      <c r="S1079" s="1186">
        <v>4.4000000000000004</v>
      </c>
      <c r="T1079" s="1186">
        <v>2.9</v>
      </c>
      <c r="U1079" s="1186">
        <v>4.4000000000000004</v>
      </c>
      <c r="V1079" s="1186">
        <v>3.8</v>
      </c>
      <c r="W1079" s="1186"/>
      <c r="X1079" s="1186"/>
      <c r="Y1079" s="1186"/>
      <c r="Z1079" s="1186"/>
      <c r="AA1079" s="1186"/>
      <c r="AB1079" s="1186"/>
      <c r="AC1079" s="1186"/>
      <c r="AD1079" s="1187"/>
    </row>
    <row r="1080" spans="1:30" x14ac:dyDescent="0.2">
      <c r="A1080">
        <f t="shared" si="50"/>
        <v>28</v>
      </c>
      <c r="B1080">
        <v>1071</v>
      </c>
      <c r="C1080" s="1078">
        <v>2</v>
      </c>
      <c r="D1080" s="1077" t="s">
        <v>4551</v>
      </c>
      <c r="E1080" s="1077" t="s">
        <v>5329</v>
      </c>
      <c r="F1080" s="1185">
        <v>4</v>
      </c>
      <c r="G1080" s="1186">
        <v>10.6</v>
      </c>
      <c r="H1080" s="1186">
        <v>2.2999999999999998</v>
      </c>
      <c r="I1080" s="1186">
        <v>11.7</v>
      </c>
      <c r="J1080" s="1186">
        <v>2.4</v>
      </c>
      <c r="K1080" s="1186">
        <v>4.5999999999999996</v>
      </c>
      <c r="L1080" s="1186">
        <v>4.4000000000000004</v>
      </c>
      <c r="M1080" s="1186">
        <v>5.6</v>
      </c>
      <c r="N1080" s="1186">
        <v>4.8</v>
      </c>
      <c r="O1080" s="1186">
        <v>5.8</v>
      </c>
      <c r="P1080" s="1186">
        <v>6.5</v>
      </c>
      <c r="Q1080" s="1186">
        <v>11.4</v>
      </c>
      <c r="R1080" s="1186">
        <v>1.8</v>
      </c>
      <c r="S1080" s="1186">
        <v>4.4000000000000004</v>
      </c>
      <c r="T1080" s="1186">
        <v>2.9</v>
      </c>
      <c r="U1080" s="1186">
        <v>4.9000000000000004</v>
      </c>
      <c r="V1080" s="1186">
        <v>3.7</v>
      </c>
      <c r="W1080" s="1186"/>
      <c r="X1080" s="1186"/>
      <c r="Y1080" s="1186"/>
      <c r="Z1080" s="1186"/>
      <c r="AA1080" s="1186"/>
      <c r="AB1080" s="1186"/>
      <c r="AC1080" s="1186"/>
      <c r="AD1080" s="1187"/>
    </row>
    <row r="1081" spans="1:30" x14ac:dyDescent="0.2">
      <c r="A1081">
        <f t="shared" si="50"/>
        <v>28</v>
      </c>
      <c r="B1081">
        <v>1072</v>
      </c>
      <c r="C1081" s="1078">
        <v>2</v>
      </c>
      <c r="D1081" s="1077" t="s">
        <v>4551</v>
      </c>
      <c r="E1081" s="1077" t="s">
        <v>5123</v>
      </c>
      <c r="F1081" s="1185">
        <v>4</v>
      </c>
      <c r="G1081" s="1186">
        <v>4.0999999999999996</v>
      </c>
      <c r="H1081" s="1186">
        <v>2.4</v>
      </c>
      <c r="I1081" s="1186">
        <v>4.99</v>
      </c>
      <c r="J1081" s="1186">
        <v>2.76</v>
      </c>
      <c r="K1081" s="1186">
        <v>5.51</v>
      </c>
      <c r="L1081" s="1186">
        <v>3.06</v>
      </c>
      <c r="M1081" s="1186">
        <v>7.57</v>
      </c>
      <c r="N1081" s="1186">
        <v>3.82</v>
      </c>
      <c r="O1081" s="1186">
        <v>8.8000000000000007</v>
      </c>
      <c r="P1081" s="1186">
        <v>4.3600000000000003</v>
      </c>
      <c r="Q1081" s="1186">
        <v>4.66</v>
      </c>
      <c r="R1081" s="1186">
        <v>1.85</v>
      </c>
      <c r="S1081" s="1186">
        <v>7.08</v>
      </c>
      <c r="T1081" s="1186">
        <v>2.56</v>
      </c>
      <c r="U1081" s="1186">
        <v>8.23</v>
      </c>
      <c r="V1081" s="1186">
        <v>2.92</v>
      </c>
      <c r="W1081" s="1186"/>
      <c r="X1081" s="1186"/>
      <c r="Y1081" s="1186"/>
      <c r="Z1081" s="1186"/>
      <c r="AA1081" s="1186"/>
      <c r="AB1081" s="1186"/>
      <c r="AC1081" s="1186"/>
      <c r="AD1081" s="1187"/>
    </row>
    <row r="1082" spans="1:30" x14ac:dyDescent="0.2">
      <c r="A1082">
        <f t="shared" si="50"/>
        <v>28</v>
      </c>
      <c r="B1082">
        <v>1073</v>
      </c>
      <c r="C1082" s="1078">
        <v>2</v>
      </c>
      <c r="D1082" s="1077" t="s">
        <v>4551</v>
      </c>
      <c r="E1082" s="1077" t="s">
        <v>5124</v>
      </c>
      <c r="F1082" s="1185">
        <v>4</v>
      </c>
      <c r="G1082" s="1186">
        <v>4.0999999999999996</v>
      </c>
      <c r="H1082" s="1186">
        <v>2.4</v>
      </c>
      <c r="I1082" s="1186">
        <v>4.99</v>
      </c>
      <c r="J1082" s="1186">
        <v>2.76</v>
      </c>
      <c r="K1082" s="1186">
        <v>5.51</v>
      </c>
      <c r="L1082" s="1186">
        <v>3.06</v>
      </c>
      <c r="M1082" s="1186">
        <v>7.57</v>
      </c>
      <c r="N1082" s="1186">
        <v>3.82</v>
      </c>
      <c r="O1082" s="1186">
        <v>8.8000000000000007</v>
      </c>
      <c r="P1082" s="1186">
        <v>4.3600000000000003</v>
      </c>
      <c r="Q1082" s="1186">
        <v>4.66</v>
      </c>
      <c r="R1082" s="1186">
        <v>1.85</v>
      </c>
      <c r="S1082" s="1186">
        <v>7.08</v>
      </c>
      <c r="T1082" s="1186">
        <v>2.56</v>
      </c>
      <c r="U1082" s="1186">
        <v>8.23</v>
      </c>
      <c r="V1082" s="1186">
        <v>2.92</v>
      </c>
      <c r="W1082" s="1186"/>
      <c r="X1082" s="1186"/>
      <c r="Y1082" s="1186"/>
      <c r="Z1082" s="1186"/>
      <c r="AA1082" s="1186"/>
      <c r="AB1082" s="1186"/>
      <c r="AC1082" s="1186"/>
      <c r="AD1082" s="1187"/>
    </row>
    <row r="1083" spans="1:30" x14ac:dyDescent="0.2">
      <c r="A1083">
        <f t="shared" si="50"/>
        <v>28</v>
      </c>
      <c r="B1083">
        <v>1074</v>
      </c>
      <c r="C1083" s="1078">
        <v>2</v>
      </c>
      <c r="D1083" s="1077" t="s">
        <v>4551</v>
      </c>
      <c r="E1083" s="1077" t="s">
        <v>5113</v>
      </c>
      <c r="F1083" s="1185">
        <v>4</v>
      </c>
      <c r="G1083" s="1186">
        <v>4.75</v>
      </c>
      <c r="H1083" s="1186">
        <v>2.46</v>
      </c>
      <c r="I1083" s="1186">
        <v>5.93</v>
      </c>
      <c r="J1083" s="1186">
        <v>2.79</v>
      </c>
      <c r="K1083" s="1186">
        <v>6.26</v>
      </c>
      <c r="L1083" s="1186">
        <v>3.06</v>
      </c>
      <c r="M1083" s="1186">
        <v>8.36</v>
      </c>
      <c r="N1083" s="1186">
        <v>3.41</v>
      </c>
      <c r="O1083" s="1186">
        <v>9.74</v>
      </c>
      <c r="P1083" s="1186">
        <v>3.77</v>
      </c>
      <c r="Q1083" s="1186">
        <v>5.3</v>
      </c>
      <c r="R1083" s="1186">
        <v>1.94</v>
      </c>
      <c r="S1083" s="1186">
        <v>7.47</v>
      </c>
      <c r="T1083" s="1186">
        <v>2.38</v>
      </c>
      <c r="U1083" s="1186">
        <v>8.4</v>
      </c>
      <c r="V1083" s="1186">
        <v>2.63</v>
      </c>
      <c r="W1083" s="1186"/>
      <c r="X1083" s="1186"/>
      <c r="Y1083" s="1186"/>
      <c r="Z1083" s="1186"/>
      <c r="AA1083" s="1186"/>
      <c r="AB1083" s="1186"/>
      <c r="AC1083" s="1186"/>
      <c r="AD1083" s="1187"/>
    </row>
    <row r="1084" spans="1:30" x14ac:dyDescent="0.2">
      <c r="A1084">
        <f t="shared" si="50"/>
        <v>28</v>
      </c>
      <c r="B1084">
        <v>1075</v>
      </c>
      <c r="C1084" s="1078">
        <v>2</v>
      </c>
      <c r="D1084" s="1077" t="s">
        <v>4551</v>
      </c>
      <c r="E1084" s="1077" t="s">
        <v>5114</v>
      </c>
      <c r="F1084" s="1185">
        <v>4</v>
      </c>
      <c r="G1084" s="1186">
        <v>4.75</v>
      </c>
      <c r="H1084" s="1186">
        <v>2.46</v>
      </c>
      <c r="I1084" s="1186">
        <v>5.93</v>
      </c>
      <c r="J1084" s="1186">
        <v>2.79</v>
      </c>
      <c r="K1084" s="1186">
        <v>6.26</v>
      </c>
      <c r="L1084" s="1186">
        <v>3.06</v>
      </c>
      <c r="M1084" s="1186">
        <v>8.36</v>
      </c>
      <c r="N1084" s="1186">
        <v>3.41</v>
      </c>
      <c r="O1084" s="1186">
        <v>9.74</v>
      </c>
      <c r="P1084" s="1186">
        <v>3.77</v>
      </c>
      <c r="Q1084" s="1186">
        <v>5.3</v>
      </c>
      <c r="R1084" s="1186">
        <v>1.94</v>
      </c>
      <c r="S1084" s="1186">
        <v>7.47</v>
      </c>
      <c r="T1084" s="1186">
        <v>2.38</v>
      </c>
      <c r="U1084" s="1186">
        <v>8.4</v>
      </c>
      <c r="V1084" s="1186">
        <v>2.63</v>
      </c>
      <c r="W1084" s="1186"/>
      <c r="X1084" s="1186"/>
      <c r="Y1084" s="1186"/>
      <c r="Z1084" s="1186"/>
      <c r="AA1084" s="1186"/>
      <c r="AB1084" s="1186"/>
      <c r="AC1084" s="1186"/>
      <c r="AD1084" s="1187"/>
    </row>
    <row r="1085" spans="1:30" x14ac:dyDescent="0.2">
      <c r="A1085">
        <f t="shared" si="50"/>
        <v>28</v>
      </c>
      <c r="B1085">
        <v>1076</v>
      </c>
      <c r="C1085" s="1078">
        <v>2</v>
      </c>
      <c r="D1085" s="1077" t="s">
        <v>4551</v>
      </c>
      <c r="E1085" s="1077" t="s">
        <v>5125</v>
      </c>
      <c r="F1085" s="1185">
        <v>4</v>
      </c>
      <c r="G1085" s="1186">
        <v>5.35</v>
      </c>
      <c r="H1085" s="1186">
        <v>2.5099999999999998</v>
      </c>
      <c r="I1085" s="1186">
        <v>6.79</v>
      </c>
      <c r="J1085" s="1186">
        <v>2.9</v>
      </c>
      <c r="K1085" s="1186">
        <v>7.34</v>
      </c>
      <c r="L1085" s="1186">
        <v>3.11</v>
      </c>
      <c r="M1085" s="1186">
        <v>7.91</v>
      </c>
      <c r="N1085" s="1186">
        <v>3.59</v>
      </c>
      <c r="O1085" s="1186">
        <v>8.89</v>
      </c>
      <c r="P1085" s="1186">
        <v>4</v>
      </c>
      <c r="Q1085" s="1186">
        <v>6.06</v>
      </c>
      <c r="R1085" s="1186">
        <v>1.95</v>
      </c>
      <c r="S1085" s="1186">
        <v>7.07</v>
      </c>
      <c r="T1085" s="1186">
        <v>2.41</v>
      </c>
      <c r="U1085" s="1186">
        <v>7.95</v>
      </c>
      <c r="V1085" s="1186">
        <v>2.68</v>
      </c>
      <c r="W1085" s="1186"/>
      <c r="X1085" s="1186"/>
      <c r="Y1085" s="1186"/>
      <c r="Z1085" s="1186"/>
      <c r="AA1085" s="1186"/>
      <c r="AB1085" s="1186"/>
      <c r="AC1085" s="1186"/>
      <c r="AD1085" s="1187"/>
    </row>
    <row r="1086" spans="1:30" x14ac:dyDescent="0.2">
      <c r="A1086">
        <f t="shared" si="50"/>
        <v>28</v>
      </c>
      <c r="B1086">
        <v>1077</v>
      </c>
      <c r="C1086" s="1078">
        <v>2</v>
      </c>
      <c r="D1086" s="1077" t="s">
        <v>4551</v>
      </c>
      <c r="E1086" s="1077" t="s">
        <v>5126</v>
      </c>
      <c r="F1086" s="1185">
        <v>4</v>
      </c>
      <c r="G1086" s="1186">
        <v>5.35</v>
      </c>
      <c r="H1086" s="1186">
        <v>2.5099999999999998</v>
      </c>
      <c r="I1086" s="1186">
        <v>6.79</v>
      </c>
      <c r="J1086" s="1186">
        <v>2.9</v>
      </c>
      <c r="K1086" s="1186">
        <v>7.34</v>
      </c>
      <c r="L1086" s="1186">
        <v>3.11</v>
      </c>
      <c r="M1086" s="1186">
        <v>7.91</v>
      </c>
      <c r="N1086" s="1186">
        <v>3.59</v>
      </c>
      <c r="O1086" s="1186">
        <v>8.89</v>
      </c>
      <c r="P1086" s="1186">
        <v>4</v>
      </c>
      <c r="Q1086" s="1186">
        <v>6.06</v>
      </c>
      <c r="R1086" s="1186">
        <v>1.95</v>
      </c>
      <c r="S1086" s="1186">
        <v>7.07</v>
      </c>
      <c r="T1086" s="1186">
        <v>2.41</v>
      </c>
      <c r="U1086" s="1186">
        <v>7.95</v>
      </c>
      <c r="V1086" s="1186">
        <v>2.68</v>
      </c>
      <c r="W1086" s="1186"/>
      <c r="X1086" s="1186"/>
      <c r="Y1086" s="1186"/>
      <c r="Z1086" s="1186"/>
      <c r="AA1086" s="1186"/>
      <c r="AB1086" s="1186"/>
      <c r="AC1086" s="1186"/>
      <c r="AD1086" s="1187"/>
    </row>
    <row r="1087" spans="1:30" x14ac:dyDescent="0.2">
      <c r="A1087">
        <f t="shared" si="50"/>
        <v>28</v>
      </c>
      <c r="B1087">
        <v>1078</v>
      </c>
      <c r="C1087" s="1078">
        <v>2</v>
      </c>
      <c r="D1087" s="1077" t="s">
        <v>4551</v>
      </c>
      <c r="E1087" s="1077" t="s">
        <v>5115</v>
      </c>
      <c r="F1087" s="1185">
        <v>4</v>
      </c>
      <c r="G1087" s="1186">
        <v>6.74</v>
      </c>
      <c r="H1087" s="1186">
        <v>2.52</v>
      </c>
      <c r="I1087" s="1186">
        <v>8.25</v>
      </c>
      <c r="J1087" s="1186">
        <v>2.79</v>
      </c>
      <c r="K1087" s="1186">
        <v>8.9499999999999993</v>
      </c>
      <c r="L1087" s="1186">
        <v>2.96</v>
      </c>
      <c r="M1087" s="1186">
        <v>10.84</v>
      </c>
      <c r="N1087" s="1186">
        <v>3.21</v>
      </c>
      <c r="O1087" s="1186">
        <v>12.12</v>
      </c>
      <c r="P1087" s="1186">
        <v>3.46</v>
      </c>
      <c r="Q1087" s="1186">
        <v>6.9</v>
      </c>
      <c r="R1087" s="1186">
        <v>2.09</v>
      </c>
      <c r="S1087" s="1186">
        <v>8.41</v>
      </c>
      <c r="T1087" s="1186">
        <v>2.4</v>
      </c>
      <c r="U1087" s="1186">
        <v>9.08</v>
      </c>
      <c r="V1087" s="1186">
        <v>2.59</v>
      </c>
      <c r="W1087" s="1186"/>
      <c r="X1087" s="1186"/>
      <c r="Y1087" s="1186"/>
      <c r="Z1087" s="1186"/>
      <c r="AA1087" s="1186"/>
      <c r="AB1087" s="1186"/>
      <c r="AC1087" s="1186"/>
      <c r="AD1087" s="1187"/>
    </row>
    <row r="1088" spans="1:30" x14ac:dyDescent="0.2">
      <c r="A1088">
        <f t="shared" si="50"/>
        <v>28</v>
      </c>
      <c r="B1088">
        <v>1079</v>
      </c>
      <c r="C1088" s="1078">
        <v>2</v>
      </c>
      <c r="D1088" s="1077" t="s">
        <v>4551</v>
      </c>
      <c r="E1088" s="1077" t="s">
        <v>5116</v>
      </c>
      <c r="F1088" s="1185">
        <v>4</v>
      </c>
      <c r="G1088" s="1186">
        <v>6.74</v>
      </c>
      <c r="H1088" s="1186">
        <v>2.52</v>
      </c>
      <c r="I1088" s="1186">
        <v>8.25</v>
      </c>
      <c r="J1088" s="1186">
        <v>2.79</v>
      </c>
      <c r="K1088" s="1186">
        <v>8.9499999999999993</v>
      </c>
      <c r="L1088" s="1186">
        <v>2.96</v>
      </c>
      <c r="M1088" s="1186">
        <v>10.84</v>
      </c>
      <c r="N1088" s="1186">
        <v>3.21</v>
      </c>
      <c r="O1088" s="1186">
        <v>12.12</v>
      </c>
      <c r="P1088" s="1186">
        <v>3.46</v>
      </c>
      <c r="Q1088" s="1186">
        <v>6.9</v>
      </c>
      <c r="R1088" s="1186">
        <v>2.09</v>
      </c>
      <c r="S1088" s="1186">
        <v>8.41</v>
      </c>
      <c r="T1088" s="1186">
        <v>2.4</v>
      </c>
      <c r="U1088" s="1186">
        <v>9.08</v>
      </c>
      <c r="V1088" s="1186">
        <v>2.59</v>
      </c>
      <c r="W1088" s="1186"/>
      <c r="X1088" s="1186"/>
      <c r="Y1088" s="1186"/>
      <c r="Z1088" s="1186"/>
      <c r="AA1088" s="1186"/>
      <c r="AB1088" s="1186"/>
      <c r="AC1088" s="1186"/>
      <c r="AD1088" s="1187"/>
    </row>
    <row r="1089" spans="1:30" x14ac:dyDescent="0.2">
      <c r="A1089">
        <f t="shared" si="50"/>
        <v>28</v>
      </c>
      <c r="B1089">
        <v>1080</v>
      </c>
      <c r="C1089" s="1078">
        <v>2</v>
      </c>
      <c r="D1089" s="1077" t="s">
        <v>4551</v>
      </c>
      <c r="E1089" s="1077" t="s">
        <v>5121</v>
      </c>
      <c r="F1089" s="1185">
        <v>4</v>
      </c>
      <c r="G1089" s="1186">
        <v>6.74</v>
      </c>
      <c r="H1089" s="1186">
        <v>2.52</v>
      </c>
      <c r="I1089" s="1186">
        <v>8.25</v>
      </c>
      <c r="J1089" s="1186">
        <v>2.79</v>
      </c>
      <c r="K1089" s="1186">
        <v>8.9499999999999993</v>
      </c>
      <c r="L1089" s="1186">
        <v>2.96</v>
      </c>
      <c r="M1089" s="1186">
        <v>10.84</v>
      </c>
      <c r="N1089" s="1186">
        <v>3.21</v>
      </c>
      <c r="O1089" s="1186">
        <v>12.12</v>
      </c>
      <c r="P1089" s="1186">
        <v>3.46</v>
      </c>
      <c r="Q1089" s="1186">
        <v>6.9</v>
      </c>
      <c r="R1089" s="1186">
        <v>2.09</v>
      </c>
      <c r="S1089" s="1186">
        <v>8.41</v>
      </c>
      <c r="T1089" s="1186">
        <v>2.4</v>
      </c>
      <c r="U1089" s="1186">
        <v>9.08</v>
      </c>
      <c r="V1089" s="1186">
        <v>2.59</v>
      </c>
      <c r="W1089" s="1186"/>
      <c r="X1089" s="1186"/>
      <c r="Y1089" s="1186"/>
      <c r="Z1089" s="1186"/>
      <c r="AA1089" s="1186"/>
      <c r="AB1089" s="1186"/>
      <c r="AC1089" s="1186"/>
      <c r="AD1089" s="1187"/>
    </row>
    <row r="1090" spans="1:30" x14ac:dyDescent="0.2">
      <c r="A1090">
        <f t="shared" si="50"/>
        <v>28</v>
      </c>
      <c r="B1090">
        <v>1081</v>
      </c>
      <c r="C1090" s="1078">
        <v>2</v>
      </c>
      <c r="D1090" s="1077" t="s">
        <v>4551</v>
      </c>
      <c r="E1090" s="1077" t="s">
        <v>5122</v>
      </c>
      <c r="F1090" s="1185">
        <v>4</v>
      </c>
      <c r="G1090" s="1186">
        <v>6.74</v>
      </c>
      <c r="H1090" s="1186">
        <v>2.52</v>
      </c>
      <c r="I1090" s="1186">
        <v>8.25</v>
      </c>
      <c r="J1090" s="1186">
        <v>2.79</v>
      </c>
      <c r="K1090" s="1186">
        <v>8.9499999999999993</v>
      </c>
      <c r="L1090" s="1186">
        <v>2.96</v>
      </c>
      <c r="M1090" s="1186">
        <v>10.84</v>
      </c>
      <c r="N1090" s="1186">
        <v>3.21</v>
      </c>
      <c r="O1090" s="1186">
        <v>12.12</v>
      </c>
      <c r="P1090" s="1186">
        <v>3.46</v>
      </c>
      <c r="Q1090" s="1186">
        <v>6.9</v>
      </c>
      <c r="R1090" s="1186">
        <v>2.09</v>
      </c>
      <c r="S1090" s="1186">
        <v>8.41</v>
      </c>
      <c r="T1090" s="1186">
        <v>2.4</v>
      </c>
      <c r="U1090" s="1186">
        <v>9.08</v>
      </c>
      <c r="V1090" s="1186">
        <v>2.59</v>
      </c>
      <c r="W1090" s="1186"/>
      <c r="X1090" s="1186"/>
      <c r="Y1090" s="1186"/>
      <c r="Z1090" s="1186"/>
      <c r="AA1090" s="1186"/>
      <c r="AB1090" s="1186"/>
      <c r="AC1090" s="1186"/>
      <c r="AD1090" s="1187"/>
    </row>
    <row r="1091" spans="1:30" x14ac:dyDescent="0.2">
      <c r="A1091">
        <f t="shared" si="50"/>
        <v>28</v>
      </c>
      <c r="B1091">
        <v>1082</v>
      </c>
      <c r="C1091" s="1078">
        <v>2</v>
      </c>
      <c r="D1091" s="1077" t="s">
        <v>4551</v>
      </c>
      <c r="E1091" s="1077" t="s">
        <v>5109</v>
      </c>
      <c r="F1091" s="1185">
        <v>4</v>
      </c>
      <c r="G1091" s="1186">
        <v>8.7200000000000006</v>
      </c>
      <c r="H1091" s="1186">
        <v>2.38</v>
      </c>
      <c r="I1091" s="1186">
        <v>10.73</v>
      </c>
      <c r="J1091" s="1186">
        <v>2.74</v>
      </c>
      <c r="K1091" s="1186">
        <v>11.79</v>
      </c>
      <c r="L1091" s="1186">
        <v>3.04</v>
      </c>
      <c r="M1091" s="1186">
        <v>16.89</v>
      </c>
      <c r="N1091" s="1186">
        <v>3.59</v>
      </c>
      <c r="O1091" s="1186">
        <v>19.170000000000002</v>
      </c>
      <c r="P1091" s="1186">
        <v>4.0599999999999996</v>
      </c>
      <c r="Q1091" s="1186">
        <v>9.3800000000000008</v>
      </c>
      <c r="R1091" s="1186">
        <v>2</v>
      </c>
      <c r="S1091" s="1186">
        <v>14.77</v>
      </c>
      <c r="T1091" s="1186">
        <v>2.63</v>
      </c>
      <c r="U1091" s="1186">
        <v>16.77</v>
      </c>
      <c r="V1091" s="1186">
        <v>2.97</v>
      </c>
      <c r="W1091" s="1186"/>
      <c r="X1091" s="1186"/>
      <c r="Y1091" s="1186"/>
      <c r="Z1091" s="1186"/>
      <c r="AA1091" s="1186"/>
      <c r="AB1091" s="1186"/>
      <c r="AC1091" s="1186"/>
      <c r="AD1091" s="1187"/>
    </row>
    <row r="1092" spans="1:30" x14ac:dyDescent="0.2">
      <c r="A1092">
        <f t="shared" si="50"/>
        <v>28</v>
      </c>
      <c r="B1092">
        <v>1083</v>
      </c>
      <c r="C1092" s="1078">
        <v>2</v>
      </c>
      <c r="D1092" s="1077" t="s">
        <v>4551</v>
      </c>
      <c r="E1092" s="1077" t="s">
        <v>5110</v>
      </c>
      <c r="F1092" s="1185">
        <v>4</v>
      </c>
      <c r="G1092" s="1186">
        <v>8.7200000000000006</v>
      </c>
      <c r="H1092" s="1186">
        <v>2.38</v>
      </c>
      <c r="I1092" s="1186">
        <v>10.73</v>
      </c>
      <c r="J1092" s="1186">
        <v>2.74</v>
      </c>
      <c r="K1092" s="1186">
        <v>11.79</v>
      </c>
      <c r="L1092" s="1186">
        <v>3.04</v>
      </c>
      <c r="M1092" s="1186">
        <v>16.89</v>
      </c>
      <c r="N1092" s="1186">
        <v>3.59</v>
      </c>
      <c r="O1092" s="1186">
        <v>19.170000000000002</v>
      </c>
      <c r="P1092" s="1186">
        <v>4.0599999999999996</v>
      </c>
      <c r="Q1092" s="1186">
        <v>9.3800000000000008</v>
      </c>
      <c r="R1092" s="1186">
        <v>2</v>
      </c>
      <c r="S1092" s="1186">
        <v>14.77</v>
      </c>
      <c r="T1092" s="1186">
        <v>2.63</v>
      </c>
      <c r="U1092" s="1186">
        <v>16.77</v>
      </c>
      <c r="V1092" s="1186">
        <v>2.97</v>
      </c>
      <c r="W1092" s="1186"/>
      <c r="X1092" s="1186"/>
      <c r="Y1092" s="1186"/>
      <c r="Z1092" s="1186"/>
      <c r="AA1092" s="1186"/>
      <c r="AB1092" s="1186"/>
      <c r="AC1092" s="1186"/>
      <c r="AD1092" s="1187"/>
    </row>
    <row r="1093" spans="1:30" x14ac:dyDescent="0.2">
      <c r="A1093">
        <f t="shared" si="50"/>
        <v>28</v>
      </c>
      <c r="B1093">
        <v>1084</v>
      </c>
      <c r="C1093" s="1078">
        <v>2</v>
      </c>
      <c r="D1093" s="1077" t="s">
        <v>4551</v>
      </c>
      <c r="E1093" s="1077" t="s">
        <v>5117</v>
      </c>
      <c r="F1093" s="1185">
        <v>4</v>
      </c>
      <c r="G1093" s="1186">
        <v>8.7200000000000006</v>
      </c>
      <c r="H1093" s="1186">
        <v>2.38</v>
      </c>
      <c r="I1093" s="1186">
        <v>10.73</v>
      </c>
      <c r="J1093" s="1186">
        <v>2.74</v>
      </c>
      <c r="K1093" s="1186">
        <v>11.79</v>
      </c>
      <c r="L1093" s="1186">
        <v>3.04</v>
      </c>
      <c r="M1093" s="1186">
        <v>16.89</v>
      </c>
      <c r="N1093" s="1186">
        <v>3.59</v>
      </c>
      <c r="O1093" s="1186">
        <v>19.170000000000002</v>
      </c>
      <c r="P1093" s="1186">
        <v>4.0599999999999996</v>
      </c>
      <c r="Q1093" s="1186">
        <v>9.3800000000000008</v>
      </c>
      <c r="R1093" s="1186">
        <v>2</v>
      </c>
      <c r="S1093" s="1186">
        <v>14.77</v>
      </c>
      <c r="T1093" s="1186">
        <v>2.63</v>
      </c>
      <c r="U1093" s="1186">
        <v>16.77</v>
      </c>
      <c r="V1093" s="1186">
        <v>2.97</v>
      </c>
      <c r="W1093" s="1186"/>
      <c r="X1093" s="1186"/>
      <c r="Y1093" s="1186"/>
      <c r="Z1093" s="1186"/>
      <c r="AA1093" s="1186"/>
      <c r="AB1093" s="1186"/>
      <c r="AC1093" s="1186"/>
      <c r="AD1093" s="1187"/>
    </row>
    <row r="1094" spans="1:30" x14ac:dyDescent="0.2">
      <c r="A1094">
        <f t="shared" si="50"/>
        <v>28</v>
      </c>
      <c r="B1094">
        <v>1085</v>
      </c>
      <c r="C1094" s="1078">
        <v>2</v>
      </c>
      <c r="D1094" s="1077" t="s">
        <v>4551</v>
      </c>
      <c r="E1094" s="1077" t="s">
        <v>5118</v>
      </c>
      <c r="F1094" s="1185">
        <v>4</v>
      </c>
      <c r="G1094" s="1186">
        <v>8.7200000000000006</v>
      </c>
      <c r="H1094" s="1186">
        <v>2.38</v>
      </c>
      <c r="I1094" s="1186">
        <v>10.73</v>
      </c>
      <c r="J1094" s="1186">
        <v>2.74</v>
      </c>
      <c r="K1094" s="1186">
        <v>11.79</v>
      </c>
      <c r="L1094" s="1186">
        <v>3.04</v>
      </c>
      <c r="M1094" s="1186">
        <v>16.89</v>
      </c>
      <c r="N1094" s="1186">
        <v>3.59</v>
      </c>
      <c r="O1094" s="1186">
        <v>19.170000000000002</v>
      </c>
      <c r="P1094" s="1186">
        <v>4.0599999999999996</v>
      </c>
      <c r="Q1094" s="1186">
        <v>9.3800000000000008</v>
      </c>
      <c r="R1094" s="1186">
        <v>2</v>
      </c>
      <c r="S1094" s="1186">
        <v>14.77</v>
      </c>
      <c r="T1094" s="1186">
        <v>2.63</v>
      </c>
      <c r="U1094" s="1186">
        <v>16.77</v>
      </c>
      <c r="V1094" s="1186">
        <v>2.97</v>
      </c>
      <c r="W1094" s="1186"/>
      <c r="X1094" s="1186"/>
      <c r="Y1094" s="1186"/>
      <c r="Z1094" s="1186"/>
      <c r="AA1094" s="1186"/>
      <c r="AB1094" s="1186"/>
      <c r="AC1094" s="1186"/>
      <c r="AD1094" s="1187"/>
    </row>
    <row r="1095" spans="1:30" x14ac:dyDescent="0.2">
      <c r="A1095">
        <f t="shared" si="50"/>
        <v>28</v>
      </c>
      <c r="B1095">
        <v>1086</v>
      </c>
      <c r="C1095" s="1078">
        <v>2</v>
      </c>
      <c r="D1095" s="1077" t="s">
        <v>4551</v>
      </c>
      <c r="E1095" s="1077" t="s">
        <v>5111</v>
      </c>
      <c r="F1095" s="1185">
        <v>4</v>
      </c>
      <c r="G1095" s="1186">
        <v>10.63</v>
      </c>
      <c r="H1095" s="1186">
        <v>2.2999999999999998</v>
      </c>
      <c r="I1095" s="1186">
        <v>13.02</v>
      </c>
      <c r="J1095" s="1186">
        <v>2.5499999999999998</v>
      </c>
      <c r="K1095" s="1186">
        <v>14.59</v>
      </c>
      <c r="L1095" s="1186">
        <v>2.85</v>
      </c>
      <c r="M1095" s="1186">
        <v>19.850000000000001</v>
      </c>
      <c r="N1095" s="1186">
        <v>3.4</v>
      </c>
      <c r="O1095" s="1186">
        <v>22.36</v>
      </c>
      <c r="P1095" s="1186">
        <v>4.28</v>
      </c>
      <c r="Q1095" s="1186">
        <v>10.45</v>
      </c>
      <c r="R1095" s="1186">
        <v>1.92</v>
      </c>
      <c r="S1095" s="1186">
        <v>15.93</v>
      </c>
      <c r="T1095" s="1186">
        <v>2.5499999999999998</v>
      </c>
      <c r="U1095" s="1186">
        <v>17.93</v>
      </c>
      <c r="V1095" s="1186">
        <v>3.22</v>
      </c>
      <c r="W1095" s="1186"/>
      <c r="X1095" s="1186"/>
      <c r="Y1095" s="1186"/>
      <c r="Z1095" s="1186"/>
      <c r="AA1095" s="1186"/>
      <c r="AB1095" s="1186"/>
      <c r="AC1095" s="1186"/>
      <c r="AD1095" s="1187"/>
    </row>
    <row r="1096" spans="1:30" x14ac:dyDescent="0.2">
      <c r="A1096">
        <f t="shared" si="50"/>
        <v>28</v>
      </c>
      <c r="B1096">
        <v>1087</v>
      </c>
      <c r="C1096" s="1078">
        <v>2</v>
      </c>
      <c r="D1096" s="1077" t="s">
        <v>4551</v>
      </c>
      <c r="E1096" s="1077" t="s">
        <v>5112</v>
      </c>
      <c r="F1096" s="1185">
        <v>4</v>
      </c>
      <c r="G1096" s="1186">
        <v>10.63</v>
      </c>
      <c r="H1096" s="1186">
        <v>2.2999999999999998</v>
      </c>
      <c r="I1096" s="1186">
        <v>13.02</v>
      </c>
      <c r="J1096" s="1186">
        <v>2.5499999999999998</v>
      </c>
      <c r="K1096" s="1186">
        <v>14.59</v>
      </c>
      <c r="L1096" s="1186">
        <v>2.85</v>
      </c>
      <c r="M1096" s="1186">
        <v>19.850000000000001</v>
      </c>
      <c r="N1096" s="1186">
        <v>3.4</v>
      </c>
      <c r="O1096" s="1186">
        <v>22.36</v>
      </c>
      <c r="P1096" s="1186">
        <v>4.28</v>
      </c>
      <c r="Q1096" s="1186">
        <v>10.45</v>
      </c>
      <c r="R1096" s="1186">
        <v>1.92</v>
      </c>
      <c r="S1096" s="1186">
        <v>15.93</v>
      </c>
      <c r="T1096" s="1186">
        <v>2.5499999999999998</v>
      </c>
      <c r="U1096" s="1186">
        <v>17.93</v>
      </c>
      <c r="V1096" s="1186">
        <v>3.22</v>
      </c>
      <c r="W1096" s="1186"/>
      <c r="X1096" s="1186"/>
      <c r="Y1096" s="1186"/>
      <c r="Z1096" s="1186"/>
      <c r="AA1096" s="1186"/>
      <c r="AB1096" s="1186"/>
      <c r="AC1096" s="1186"/>
      <c r="AD1096" s="1187"/>
    </row>
    <row r="1097" spans="1:30" x14ac:dyDescent="0.2">
      <c r="A1097">
        <f t="shared" si="50"/>
        <v>28</v>
      </c>
      <c r="B1097">
        <v>1088</v>
      </c>
      <c r="C1097" s="1078">
        <v>2</v>
      </c>
      <c r="D1097" s="1077" t="s">
        <v>4551</v>
      </c>
      <c r="E1097" s="1077" t="s">
        <v>5119</v>
      </c>
      <c r="F1097" s="1185">
        <v>4</v>
      </c>
      <c r="G1097" s="1186">
        <v>10.63</v>
      </c>
      <c r="H1097" s="1186">
        <v>2.2999999999999998</v>
      </c>
      <c r="I1097" s="1186">
        <v>13.02</v>
      </c>
      <c r="J1097" s="1186">
        <v>2.5499999999999998</v>
      </c>
      <c r="K1097" s="1186">
        <v>14.59</v>
      </c>
      <c r="L1097" s="1186">
        <v>2.85</v>
      </c>
      <c r="M1097" s="1186">
        <v>19.850000000000001</v>
      </c>
      <c r="N1097" s="1186">
        <v>3.4</v>
      </c>
      <c r="O1097" s="1186">
        <v>22.36</v>
      </c>
      <c r="P1097" s="1186">
        <v>4.28</v>
      </c>
      <c r="Q1097" s="1186">
        <v>10.45</v>
      </c>
      <c r="R1097" s="1186">
        <v>1.92</v>
      </c>
      <c r="S1097" s="1186">
        <v>15.93</v>
      </c>
      <c r="T1097" s="1186">
        <v>2.5499999999999998</v>
      </c>
      <c r="U1097" s="1186">
        <v>17.93</v>
      </c>
      <c r="V1097" s="1186">
        <v>3.22</v>
      </c>
      <c r="W1097" s="1186"/>
      <c r="X1097" s="1186"/>
      <c r="Y1097" s="1186"/>
      <c r="Z1097" s="1186"/>
      <c r="AA1097" s="1186"/>
      <c r="AB1097" s="1186"/>
      <c r="AC1097" s="1186"/>
      <c r="AD1097" s="1187"/>
    </row>
    <row r="1098" spans="1:30" x14ac:dyDescent="0.2">
      <c r="A1098">
        <f t="shared" si="50"/>
        <v>28</v>
      </c>
      <c r="B1098">
        <v>1089</v>
      </c>
      <c r="C1098" s="1078">
        <v>2</v>
      </c>
      <c r="D1098" s="1077" t="s">
        <v>4551</v>
      </c>
      <c r="E1098" s="1077" t="s">
        <v>5120</v>
      </c>
      <c r="F1098" s="1185">
        <v>4</v>
      </c>
      <c r="G1098" s="1186">
        <v>10.63</v>
      </c>
      <c r="H1098" s="1186">
        <v>2.2999999999999998</v>
      </c>
      <c r="I1098" s="1186">
        <v>13.02</v>
      </c>
      <c r="J1098" s="1186">
        <v>2.5499999999999998</v>
      </c>
      <c r="K1098" s="1186">
        <v>14.59</v>
      </c>
      <c r="L1098" s="1186">
        <v>2.85</v>
      </c>
      <c r="M1098" s="1186">
        <v>19.850000000000001</v>
      </c>
      <c r="N1098" s="1186">
        <v>3.4</v>
      </c>
      <c r="O1098" s="1186">
        <v>22.36</v>
      </c>
      <c r="P1098" s="1186">
        <v>4.28</v>
      </c>
      <c r="Q1098" s="1186">
        <v>10.45</v>
      </c>
      <c r="R1098" s="1186">
        <v>1.92</v>
      </c>
      <c r="S1098" s="1186">
        <v>15.93</v>
      </c>
      <c r="T1098" s="1186">
        <v>2.5499999999999998</v>
      </c>
      <c r="U1098" s="1186">
        <v>17.93</v>
      </c>
      <c r="V1098" s="1186">
        <v>3.22</v>
      </c>
      <c r="W1098" s="1186"/>
      <c r="X1098" s="1186"/>
      <c r="Y1098" s="1186"/>
      <c r="Z1098" s="1186"/>
      <c r="AA1098" s="1186"/>
      <c r="AB1098" s="1186"/>
      <c r="AC1098" s="1186"/>
      <c r="AD1098" s="1187"/>
    </row>
    <row r="1099" spans="1:30" x14ac:dyDescent="0.2">
      <c r="A1099">
        <f t="shared" si="50"/>
        <v>28</v>
      </c>
      <c r="B1099">
        <v>1090</v>
      </c>
      <c r="C1099" s="1078">
        <v>4</v>
      </c>
      <c r="D1099" s="1077" t="s">
        <v>4551</v>
      </c>
      <c r="E1099" s="1077" t="s">
        <v>5127</v>
      </c>
      <c r="F1099" s="1185">
        <v>4</v>
      </c>
      <c r="G1099" s="1186"/>
      <c r="H1099" s="1186"/>
      <c r="I1099" s="1186"/>
      <c r="J1099" s="1186"/>
      <c r="K1099" s="1186"/>
      <c r="L1099" s="1186"/>
      <c r="M1099" s="1186"/>
      <c r="N1099" s="1186"/>
      <c r="O1099" s="1186"/>
      <c r="P1099" s="1186"/>
      <c r="Q1099" s="1186"/>
      <c r="R1099" s="1186"/>
      <c r="S1099" s="1186"/>
      <c r="T1099" s="1186"/>
      <c r="U1099" s="1186"/>
      <c r="V1099" s="1186"/>
      <c r="W1099" s="1186">
        <v>12.5</v>
      </c>
      <c r="X1099" s="1186">
        <v>4.7</v>
      </c>
      <c r="Y1099" s="1186">
        <v>11.2</v>
      </c>
      <c r="Z1099" s="1186">
        <v>2.6</v>
      </c>
      <c r="AA1099" s="1186">
        <v>16</v>
      </c>
      <c r="AB1099" s="1186">
        <v>4.9000000000000004</v>
      </c>
      <c r="AC1099" s="1186">
        <v>14.1</v>
      </c>
      <c r="AD1099" s="1187">
        <v>3.2</v>
      </c>
    </row>
    <row r="1100" spans="1:30" x14ac:dyDescent="0.2">
      <c r="A1100">
        <f t="shared" ref="A1100:A1163" si="51">A1099+(D1100&lt;&gt;D1099)*1</f>
        <v>28</v>
      </c>
      <c r="B1100">
        <v>1091</v>
      </c>
      <c r="C1100" s="1078">
        <v>4</v>
      </c>
      <c r="D1100" s="1077" t="s">
        <v>4551</v>
      </c>
      <c r="E1100" s="1077" t="s">
        <v>5128</v>
      </c>
      <c r="F1100" s="1185">
        <v>4</v>
      </c>
      <c r="G1100" s="1186"/>
      <c r="H1100" s="1186"/>
      <c r="I1100" s="1186"/>
      <c r="J1100" s="1186"/>
      <c r="K1100" s="1186"/>
      <c r="L1100" s="1186"/>
      <c r="M1100" s="1186"/>
      <c r="N1100" s="1186"/>
      <c r="O1100" s="1186"/>
      <c r="P1100" s="1186"/>
      <c r="Q1100" s="1186"/>
      <c r="R1100" s="1186"/>
      <c r="S1100" s="1186"/>
      <c r="T1100" s="1186"/>
      <c r="U1100" s="1186"/>
      <c r="V1100" s="1186"/>
      <c r="W1100" s="1186">
        <v>12.5</v>
      </c>
      <c r="X1100" s="1186">
        <v>4.7</v>
      </c>
      <c r="Y1100" s="1186">
        <v>11.2</v>
      </c>
      <c r="Z1100" s="1186">
        <v>2.6</v>
      </c>
      <c r="AA1100" s="1186">
        <v>16</v>
      </c>
      <c r="AB1100" s="1186">
        <v>4.9000000000000004</v>
      </c>
      <c r="AC1100" s="1186">
        <v>14.1</v>
      </c>
      <c r="AD1100" s="1187">
        <v>3.2</v>
      </c>
    </row>
    <row r="1101" spans="1:30" x14ac:dyDescent="0.2">
      <c r="A1101">
        <f t="shared" si="51"/>
        <v>28</v>
      </c>
      <c r="B1101">
        <v>1092</v>
      </c>
      <c r="C1101" s="1078">
        <v>4</v>
      </c>
      <c r="D1101" s="1077" t="s">
        <v>4551</v>
      </c>
      <c r="E1101" s="1077" t="s">
        <v>5129</v>
      </c>
      <c r="F1101" s="1185">
        <v>4</v>
      </c>
      <c r="G1101" s="1186"/>
      <c r="H1101" s="1186"/>
      <c r="I1101" s="1186"/>
      <c r="J1101" s="1186"/>
      <c r="K1101" s="1186"/>
      <c r="L1101" s="1186"/>
      <c r="M1101" s="1186"/>
      <c r="N1101" s="1186"/>
      <c r="O1101" s="1186"/>
      <c r="P1101" s="1186"/>
      <c r="Q1101" s="1186"/>
      <c r="R1101" s="1186"/>
      <c r="S1101" s="1186"/>
      <c r="T1101" s="1186"/>
      <c r="U1101" s="1186"/>
      <c r="V1101" s="1186"/>
      <c r="W1101" s="1186">
        <v>15.5</v>
      </c>
      <c r="X1101" s="1186">
        <v>4.8</v>
      </c>
      <c r="Y1101" s="1186">
        <v>14.1</v>
      </c>
      <c r="Z1101" s="1186">
        <v>2.5</v>
      </c>
      <c r="AA1101" s="1186">
        <v>20</v>
      </c>
      <c r="AB1101" s="1186">
        <v>5.8</v>
      </c>
      <c r="AC1101" s="1186">
        <v>17.899999999999999</v>
      </c>
      <c r="AD1101" s="1187">
        <v>3.2</v>
      </c>
    </row>
    <row r="1102" spans="1:30" x14ac:dyDescent="0.2">
      <c r="A1102">
        <f t="shared" si="51"/>
        <v>28</v>
      </c>
      <c r="B1102">
        <v>1093</v>
      </c>
      <c r="C1102" s="1078">
        <v>4</v>
      </c>
      <c r="D1102" s="1077" t="s">
        <v>4551</v>
      </c>
      <c r="E1102" s="1077" t="s">
        <v>5130</v>
      </c>
      <c r="F1102" s="1185">
        <v>4</v>
      </c>
      <c r="G1102" s="1186"/>
      <c r="H1102" s="1186"/>
      <c r="I1102" s="1186"/>
      <c r="J1102" s="1186"/>
      <c r="K1102" s="1186"/>
      <c r="L1102" s="1186"/>
      <c r="M1102" s="1186"/>
      <c r="N1102" s="1186"/>
      <c r="O1102" s="1186"/>
      <c r="P1102" s="1186"/>
      <c r="Q1102" s="1186"/>
      <c r="R1102" s="1186"/>
      <c r="S1102" s="1186"/>
      <c r="T1102" s="1186"/>
      <c r="U1102" s="1186"/>
      <c r="V1102" s="1186"/>
      <c r="W1102" s="1186">
        <v>15.5</v>
      </c>
      <c r="X1102" s="1186">
        <v>4.8</v>
      </c>
      <c r="Y1102" s="1186">
        <v>14.1</v>
      </c>
      <c r="Z1102" s="1186">
        <v>2.5</v>
      </c>
      <c r="AA1102" s="1186">
        <v>20</v>
      </c>
      <c r="AB1102" s="1186">
        <v>5.8</v>
      </c>
      <c r="AC1102" s="1186">
        <v>17.899999999999999</v>
      </c>
      <c r="AD1102" s="1187">
        <v>3.2</v>
      </c>
    </row>
    <row r="1103" spans="1:30" x14ac:dyDescent="0.2">
      <c r="A1103">
        <f t="shared" si="51"/>
        <v>28</v>
      </c>
      <c r="B1103">
        <v>1094</v>
      </c>
      <c r="C1103" s="1078">
        <v>4</v>
      </c>
      <c r="D1103" s="1077" t="s">
        <v>4551</v>
      </c>
      <c r="E1103" s="1077" t="s">
        <v>5131</v>
      </c>
      <c r="F1103" s="1185">
        <v>4</v>
      </c>
      <c r="G1103" s="1186"/>
      <c r="H1103" s="1186"/>
      <c r="I1103" s="1186"/>
      <c r="J1103" s="1186"/>
      <c r="K1103" s="1186"/>
      <c r="L1103" s="1186"/>
      <c r="M1103" s="1186"/>
      <c r="N1103" s="1186"/>
      <c r="O1103" s="1186"/>
      <c r="P1103" s="1186"/>
      <c r="Q1103" s="1186"/>
      <c r="R1103" s="1186"/>
      <c r="S1103" s="1186"/>
      <c r="T1103" s="1186"/>
      <c r="U1103" s="1186"/>
      <c r="V1103" s="1186"/>
      <c r="W1103" s="1186">
        <v>5.9</v>
      </c>
      <c r="X1103" s="1186">
        <v>4.5999999999999996</v>
      </c>
      <c r="Y1103" s="1186">
        <v>5.0999999999999996</v>
      </c>
      <c r="Z1103" s="1186">
        <v>2.7</v>
      </c>
      <c r="AA1103" s="1186">
        <v>8</v>
      </c>
      <c r="AB1103" s="1186">
        <v>5.8</v>
      </c>
      <c r="AC1103" s="1186">
        <v>6.9</v>
      </c>
      <c r="AD1103" s="1187">
        <v>3.3</v>
      </c>
    </row>
    <row r="1104" spans="1:30" x14ac:dyDescent="0.2">
      <c r="A1104">
        <f t="shared" si="51"/>
        <v>28</v>
      </c>
      <c r="B1104">
        <v>1095</v>
      </c>
      <c r="C1104" s="1078">
        <v>4</v>
      </c>
      <c r="D1104" s="1077" t="s">
        <v>4551</v>
      </c>
      <c r="E1104" s="1077" t="s">
        <v>5132</v>
      </c>
      <c r="F1104" s="1185">
        <v>4</v>
      </c>
      <c r="G1104" s="1186"/>
      <c r="H1104" s="1186"/>
      <c r="I1104" s="1186"/>
      <c r="J1104" s="1186"/>
      <c r="K1104" s="1186"/>
      <c r="L1104" s="1186"/>
      <c r="M1104" s="1186"/>
      <c r="N1104" s="1186"/>
      <c r="O1104" s="1186"/>
      <c r="P1104" s="1186"/>
      <c r="Q1104" s="1186"/>
      <c r="R1104" s="1186"/>
      <c r="S1104" s="1186"/>
      <c r="T1104" s="1186"/>
      <c r="U1104" s="1186"/>
      <c r="V1104" s="1186"/>
      <c r="W1104" s="1186">
        <v>5.9</v>
      </c>
      <c r="X1104" s="1186">
        <v>4.5999999999999996</v>
      </c>
      <c r="Y1104" s="1186">
        <v>5.0999999999999996</v>
      </c>
      <c r="Z1104" s="1186">
        <v>2.7</v>
      </c>
      <c r="AA1104" s="1186">
        <v>8</v>
      </c>
      <c r="AB1104" s="1186">
        <v>5.8</v>
      </c>
      <c r="AC1104" s="1186">
        <v>6.9</v>
      </c>
      <c r="AD1104" s="1187">
        <v>3.3</v>
      </c>
    </row>
    <row r="1105" spans="1:30" x14ac:dyDescent="0.2">
      <c r="A1105">
        <f t="shared" si="51"/>
        <v>28</v>
      </c>
      <c r="B1105">
        <v>1096</v>
      </c>
      <c r="C1105" s="1078">
        <v>4</v>
      </c>
      <c r="D1105" s="1077" t="s">
        <v>4551</v>
      </c>
      <c r="E1105" s="1077" t="s">
        <v>5133</v>
      </c>
      <c r="F1105" s="1185">
        <v>4</v>
      </c>
      <c r="G1105" s="1186"/>
      <c r="H1105" s="1186"/>
      <c r="I1105" s="1186"/>
      <c r="J1105" s="1186"/>
      <c r="K1105" s="1186"/>
      <c r="L1105" s="1186"/>
      <c r="M1105" s="1186"/>
      <c r="N1105" s="1186"/>
      <c r="O1105" s="1186"/>
      <c r="P1105" s="1186"/>
      <c r="Q1105" s="1186"/>
      <c r="R1105" s="1186"/>
      <c r="S1105" s="1186"/>
      <c r="T1105" s="1186"/>
      <c r="U1105" s="1186"/>
      <c r="V1105" s="1186"/>
      <c r="W1105" s="1186">
        <v>7.6</v>
      </c>
      <c r="X1105" s="1186">
        <v>4.5999999999999996</v>
      </c>
      <c r="Y1105" s="1186">
        <v>6.8</v>
      </c>
      <c r="Z1105" s="1186">
        <v>2.6</v>
      </c>
      <c r="AA1105" s="1186">
        <v>10.199999999999999</v>
      </c>
      <c r="AB1105" s="1186">
        <v>5.0999999999999996</v>
      </c>
      <c r="AC1105" s="1186">
        <v>9.1999999999999993</v>
      </c>
      <c r="AD1105" s="1187">
        <v>3.1</v>
      </c>
    </row>
    <row r="1106" spans="1:30" x14ac:dyDescent="0.2">
      <c r="A1106">
        <f t="shared" si="51"/>
        <v>28</v>
      </c>
      <c r="B1106">
        <v>1097</v>
      </c>
      <c r="C1106" s="1078">
        <v>4</v>
      </c>
      <c r="D1106" s="1077" t="s">
        <v>4551</v>
      </c>
      <c r="E1106" s="1077" t="s">
        <v>5134</v>
      </c>
      <c r="F1106" s="1185">
        <v>4</v>
      </c>
      <c r="G1106" s="1186"/>
      <c r="H1106" s="1186"/>
      <c r="I1106" s="1186"/>
      <c r="J1106" s="1186"/>
      <c r="K1106" s="1186"/>
      <c r="L1106" s="1186"/>
      <c r="M1106" s="1186"/>
      <c r="N1106" s="1186"/>
      <c r="O1106" s="1186"/>
      <c r="P1106" s="1186"/>
      <c r="Q1106" s="1186"/>
      <c r="R1106" s="1186"/>
      <c r="S1106" s="1186"/>
      <c r="T1106" s="1186"/>
      <c r="U1106" s="1186"/>
      <c r="V1106" s="1186"/>
      <c r="W1106" s="1186">
        <v>7.6</v>
      </c>
      <c r="X1106" s="1186">
        <v>4.5999999999999996</v>
      </c>
      <c r="Y1106" s="1186">
        <v>6.8</v>
      </c>
      <c r="Z1106" s="1186">
        <v>2.6</v>
      </c>
      <c r="AA1106" s="1186">
        <v>10.199999999999999</v>
      </c>
      <c r="AB1106" s="1186">
        <v>5.0999999999999996</v>
      </c>
      <c r="AC1106" s="1186">
        <v>9.1999999999999993</v>
      </c>
      <c r="AD1106" s="1187">
        <v>3.1</v>
      </c>
    </row>
    <row r="1107" spans="1:30" x14ac:dyDescent="0.2">
      <c r="A1107">
        <f t="shared" si="51"/>
        <v>29</v>
      </c>
      <c r="B1107">
        <v>1098</v>
      </c>
      <c r="C1107" s="1078">
        <v>2</v>
      </c>
      <c r="D1107" s="1077" t="s">
        <v>3340</v>
      </c>
      <c r="E1107" s="1077" t="s">
        <v>4200</v>
      </c>
      <c r="F1107" s="1185"/>
      <c r="G1107" s="1186"/>
      <c r="H1107" s="1186"/>
      <c r="I1107" s="1186">
        <v>4.2</v>
      </c>
      <c r="J1107" s="1186">
        <v>3.1</v>
      </c>
      <c r="K1107" s="1186">
        <v>4.8</v>
      </c>
      <c r="L1107" s="1186">
        <v>3.7</v>
      </c>
      <c r="M1107" s="1186">
        <v>6.5</v>
      </c>
      <c r="N1107" s="1186">
        <v>4.5</v>
      </c>
      <c r="O1107" s="1186"/>
      <c r="P1107" s="1186"/>
      <c r="Q1107" s="1186">
        <v>3.8</v>
      </c>
      <c r="R1107" s="1186">
        <v>1.9</v>
      </c>
      <c r="S1107" s="1186">
        <v>6.3</v>
      </c>
      <c r="T1107" s="1186">
        <v>2.9</v>
      </c>
      <c r="U1107" s="1186"/>
      <c r="V1107" s="1186"/>
      <c r="W1107" s="1186"/>
      <c r="X1107" s="1186"/>
      <c r="Y1107" s="1186"/>
      <c r="Z1107" s="1186"/>
      <c r="AA1107" s="1186"/>
      <c r="AB1107" s="1186"/>
      <c r="AC1107" s="1186"/>
      <c r="AD1107" s="1187">
        <v>4</v>
      </c>
    </row>
    <row r="1108" spans="1:30" x14ac:dyDescent="0.2">
      <c r="A1108">
        <f t="shared" si="51"/>
        <v>29</v>
      </c>
      <c r="B1108">
        <v>1099</v>
      </c>
      <c r="C1108" s="1078">
        <v>2</v>
      </c>
      <c r="D1108" s="1077" t="s">
        <v>3340</v>
      </c>
      <c r="E1108" s="1077" t="s">
        <v>4201</v>
      </c>
      <c r="F1108" s="1185"/>
      <c r="G1108" s="1186"/>
      <c r="H1108" s="1186"/>
      <c r="I1108" s="1186">
        <v>4.8</v>
      </c>
      <c r="J1108" s="1186">
        <v>3.4</v>
      </c>
      <c r="K1108" s="1186">
        <v>5.9</v>
      </c>
      <c r="L1108" s="1186">
        <v>4.0999999999999996</v>
      </c>
      <c r="M1108" s="1186">
        <v>6.3</v>
      </c>
      <c r="N1108" s="1186">
        <v>4.8</v>
      </c>
      <c r="O1108" s="1186"/>
      <c r="P1108" s="1186"/>
      <c r="Q1108" s="1186">
        <v>5.0999999999999996</v>
      </c>
      <c r="R1108" s="1186">
        <v>2.2999999999999998</v>
      </c>
      <c r="S1108" s="1186">
        <v>7.6</v>
      </c>
      <c r="T1108" s="1186">
        <v>3.4</v>
      </c>
      <c r="U1108" s="1186"/>
      <c r="V1108" s="1186"/>
      <c r="W1108" s="1186"/>
      <c r="X1108" s="1186"/>
      <c r="Y1108" s="1186"/>
      <c r="Z1108" s="1186"/>
      <c r="AA1108" s="1186"/>
      <c r="AB1108" s="1186"/>
      <c r="AC1108" s="1186"/>
      <c r="AD1108" s="1187">
        <v>4</v>
      </c>
    </row>
    <row r="1109" spans="1:30" x14ac:dyDescent="0.2">
      <c r="A1109">
        <f t="shared" si="51"/>
        <v>29</v>
      </c>
      <c r="B1109">
        <v>1100</v>
      </c>
      <c r="C1109" s="1078">
        <v>2</v>
      </c>
      <c r="D1109" s="1077" t="s">
        <v>3340</v>
      </c>
      <c r="E1109" s="1077" t="s">
        <v>4202</v>
      </c>
      <c r="F1109" s="1185"/>
      <c r="G1109" s="1186"/>
      <c r="H1109" s="1186"/>
      <c r="I1109" s="1186">
        <v>5.9</v>
      </c>
      <c r="J1109" s="1186">
        <v>2.8</v>
      </c>
      <c r="K1109" s="1186">
        <v>6</v>
      </c>
      <c r="L1109" s="1186">
        <v>3.8</v>
      </c>
      <c r="M1109" s="1186">
        <v>3.9</v>
      </c>
      <c r="N1109" s="1186">
        <v>4.5999999999999996</v>
      </c>
      <c r="O1109" s="1186"/>
      <c r="P1109" s="1186"/>
      <c r="Q1109" s="1186">
        <v>4.5999999999999996</v>
      </c>
      <c r="R1109" s="1186">
        <v>1.9</v>
      </c>
      <c r="S1109" s="1186">
        <v>3.5</v>
      </c>
      <c r="T1109" s="1186">
        <v>3.1</v>
      </c>
      <c r="U1109" s="1186"/>
      <c r="V1109" s="1186"/>
      <c r="W1109" s="1186"/>
      <c r="X1109" s="1186"/>
      <c r="Y1109" s="1186"/>
      <c r="Z1109" s="1186"/>
      <c r="AA1109" s="1186"/>
      <c r="AB1109" s="1186"/>
      <c r="AC1109" s="1186"/>
      <c r="AD1109" s="1187">
        <v>3.9</v>
      </c>
    </row>
    <row r="1110" spans="1:30" x14ac:dyDescent="0.2">
      <c r="A1110">
        <f t="shared" si="51"/>
        <v>29</v>
      </c>
      <c r="B1110">
        <v>1101</v>
      </c>
      <c r="C1110" s="1078">
        <v>2</v>
      </c>
      <c r="D1110" s="1077" t="s">
        <v>3340</v>
      </c>
      <c r="E1110" s="1077" t="s">
        <v>4203</v>
      </c>
      <c r="F1110" s="1185"/>
      <c r="G1110" s="1186"/>
      <c r="H1110" s="1186"/>
      <c r="I1110" s="1186">
        <v>9.1</v>
      </c>
      <c r="J1110" s="1186">
        <v>2.8</v>
      </c>
      <c r="K1110" s="1186">
        <v>7.1</v>
      </c>
      <c r="L1110" s="1186">
        <v>3.8</v>
      </c>
      <c r="M1110" s="1186">
        <v>5.2</v>
      </c>
      <c r="N1110" s="1186">
        <v>4.8</v>
      </c>
      <c r="O1110" s="1186"/>
      <c r="P1110" s="1186"/>
      <c r="Q1110" s="1186">
        <v>6</v>
      </c>
      <c r="R1110" s="1186">
        <v>2</v>
      </c>
      <c r="S1110" s="1186">
        <v>4.7</v>
      </c>
      <c r="T1110" s="1186">
        <v>3.1</v>
      </c>
      <c r="U1110" s="1186"/>
      <c r="V1110" s="1186"/>
      <c r="W1110" s="1186"/>
      <c r="X1110" s="1186"/>
      <c r="Y1110" s="1186"/>
      <c r="Z1110" s="1186"/>
      <c r="AA1110" s="1186"/>
      <c r="AB1110" s="1186"/>
      <c r="AC1110" s="1186"/>
      <c r="AD1110" s="1187">
        <v>3.9</v>
      </c>
    </row>
    <row r="1111" spans="1:30" x14ac:dyDescent="0.2">
      <c r="A1111">
        <f t="shared" si="51"/>
        <v>29</v>
      </c>
      <c r="B1111">
        <v>1102</v>
      </c>
      <c r="C1111" s="1078">
        <v>2</v>
      </c>
      <c r="D1111" s="1077" t="s">
        <v>3340</v>
      </c>
      <c r="E1111" s="1077" t="s">
        <v>4204</v>
      </c>
      <c r="F1111" s="1185"/>
      <c r="G1111" s="1186"/>
      <c r="H1111" s="1186"/>
      <c r="I1111" s="1186">
        <v>6.2</v>
      </c>
      <c r="J1111" s="1186">
        <v>3.1</v>
      </c>
      <c r="K1111" s="1186">
        <v>7.2</v>
      </c>
      <c r="L1111" s="1186">
        <v>3.7</v>
      </c>
      <c r="M1111" s="1186">
        <v>9.3000000000000007</v>
      </c>
      <c r="N1111" s="1186">
        <v>4.4000000000000004</v>
      </c>
      <c r="O1111" s="1186"/>
      <c r="P1111" s="1186"/>
      <c r="Q1111" s="1186">
        <v>4.9000000000000004</v>
      </c>
      <c r="R1111" s="1186">
        <v>1.8</v>
      </c>
      <c r="S1111" s="1186">
        <v>8.4</v>
      </c>
      <c r="T1111" s="1186">
        <v>2.8</v>
      </c>
      <c r="U1111" s="1186"/>
      <c r="V1111" s="1186"/>
      <c r="W1111" s="1186"/>
      <c r="X1111" s="1186"/>
      <c r="Y1111" s="1186"/>
      <c r="Z1111" s="1186"/>
      <c r="AA1111" s="1186"/>
      <c r="AB1111" s="1186"/>
      <c r="AC1111" s="1186"/>
      <c r="AD1111" s="1187">
        <v>3.8</v>
      </c>
    </row>
    <row r="1112" spans="1:30" x14ac:dyDescent="0.2">
      <c r="A1112">
        <f t="shared" si="51"/>
        <v>29</v>
      </c>
      <c r="B1112">
        <v>1103</v>
      </c>
      <c r="C1112" s="1078">
        <v>2</v>
      </c>
      <c r="D1112" s="1077" t="s">
        <v>3340</v>
      </c>
      <c r="E1112" s="1077" t="s">
        <v>4205</v>
      </c>
      <c r="F1112" s="1185"/>
      <c r="G1112" s="1186"/>
      <c r="H1112" s="1186"/>
      <c r="I1112" s="1186">
        <v>6.5</v>
      </c>
      <c r="J1112" s="1186">
        <v>3.3</v>
      </c>
      <c r="K1112" s="1186">
        <v>7.8</v>
      </c>
      <c r="L1112" s="1186">
        <v>3.9</v>
      </c>
      <c r="M1112" s="1186">
        <v>8.1</v>
      </c>
      <c r="N1112" s="1186">
        <v>4.5999999999999996</v>
      </c>
      <c r="O1112" s="1186"/>
      <c r="P1112" s="1186"/>
      <c r="Q1112" s="1186">
        <v>7.3</v>
      </c>
      <c r="R1112" s="1186">
        <v>2.2000000000000002</v>
      </c>
      <c r="S1112" s="1186">
        <v>10.3</v>
      </c>
      <c r="T1112" s="1186">
        <v>3.4</v>
      </c>
      <c r="U1112" s="1186"/>
      <c r="V1112" s="1186"/>
      <c r="W1112" s="1186"/>
      <c r="X1112" s="1186"/>
      <c r="Y1112" s="1186"/>
      <c r="Z1112" s="1186"/>
      <c r="AA1112" s="1186"/>
      <c r="AB1112" s="1186"/>
      <c r="AC1112" s="1186"/>
      <c r="AD1112" s="1187">
        <v>3.8</v>
      </c>
    </row>
    <row r="1113" spans="1:30" x14ac:dyDescent="0.2">
      <c r="A1113">
        <f t="shared" si="51"/>
        <v>29</v>
      </c>
      <c r="B1113">
        <v>1104</v>
      </c>
      <c r="C1113" s="1078">
        <v>2</v>
      </c>
      <c r="D1113" s="1077" t="s">
        <v>3340</v>
      </c>
      <c r="E1113" s="1077" t="s">
        <v>4206</v>
      </c>
      <c r="F1113" s="1185"/>
      <c r="G1113" s="1186"/>
      <c r="H1113" s="1186"/>
      <c r="I1113" s="1186">
        <v>7.4</v>
      </c>
      <c r="J1113" s="1186">
        <v>3.4</v>
      </c>
      <c r="K1113" s="1186">
        <v>8.9</v>
      </c>
      <c r="L1113" s="1186">
        <v>4.0999999999999996</v>
      </c>
      <c r="M1113" s="1186">
        <v>10.7</v>
      </c>
      <c r="N1113" s="1186">
        <v>4.7</v>
      </c>
      <c r="O1113" s="1186"/>
      <c r="P1113" s="1186"/>
      <c r="Q1113" s="1186">
        <v>6.7</v>
      </c>
      <c r="R1113" s="1186">
        <v>2.4</v>
      </c>
      <c r="S1113" s="1186">
        <v>9.8000000000000007</v>
      </c>
      <c r="T1113" s="1186">
        <v>3</v>
      </c>
      <c r="U1113" s="1186"/>
      <c r="V1113" s="1186"/>
      <c r="W1113" s="1186"/>
      <c r="X1113" s="1186"/>
      <c r="Y1113" s="1186"/>
      <c r="Z1113" s="1186"/>
      <c r="AA1113" s="1186"/>
      <c r="AB1113" s="1186"/>
      <c r="AC1113" s="1186"/>
      <c r="AD1113" s="1187">
        <v>3.7</v>
      </c>
    </row>
    <row r="1114" spans="1:30" x14ac:dyDescent="0.2">
      <c r="A1114">
        <f t="shared" si="51"/>
        <v>29</v>
      </c>
      <c r="B1114">
        <v>1105</v>
      </c>
      <c r="C1114" s="1078">
        <v>2</v>
      </c>
      <c r="D1114" s="1077" t="s">
        <v>3340</v>
      </c>
      <c r="E1114" s="1077" t="s">
        <v>4207</v>
      </c>
      <c r="F1114" s="1185"/>
      <c r="G1114" s="1186"/>
      <c r="H1114" s="1186"/>
      <c r="I1114" s="1186">
        <v>7.6</v>
      </c>
      <c r="J1114" s="1186">
        <v>3.5</v>
      </c>
      <c r="K1114" s="1186">
        <v>9.3000000000000007</v>
      </c>
      <c r="L1114" s="1186">
        <v>4.2</v>
      </c>
      <c r="M1114" s="1186">
        <v>10.5</v>
      </c>
      <c r="N1114" s="1186">
        <v>4.5999999999999996</v>
      </c>
      <c r="O1114" s="1186"/>
      <c r="P1114" s="1186"/>
      <c r="Q1114" s="1186">
        <v>8.1</v>
      </c>
      <c r="R1114" s="1186">
        <v>2.6</v>
      </c>
      <c r="S1114" s="1186">
        <v>10.7</v>
      </c>
      <c r="T1114" s="1186">
        <v>3.1</v>
      </c>
      <c r="U1114" s="1186"/>
      <c r="V1114" s="1186"/>
      <c r="W1114" s="1186"/>
      <c r="X1114" s="1186"/>
      <c r="Y1114" s="1186"/>
      <c r="Z1114" s="1186"/>
      <c r="AA1114" s="1186"/>
      <c r="AB1114" s="1186"/>
      <c r="AC1114" s="1186"/>
      <c r="AD1114" s="1187">
        <v>3.5</v>
      </c>
    </row>
    <row r="1115" spans="1:30" x14ac:dyDescent="0.2">
      <c r="A1115">
        <f t="shared" si="51"/>
        <v>29</v>
      </c>
      <c r="B1115">
        <v>1106</v>
      </c>
      <c r="C1115" s="1078">
        <v>2</v>
      </c>
      <c r="D1115" s="1077" t="s">
        <v>3340</v>
      </c>
      <c r="E1115" s="1077" t="s">
        <v>4208</v>
      </c>
      <c r="F1115" s="1185"/>
      <c r="G1115" s="1186"/>
      <c r="H1115" s="1186"/>
      <c r="I1115" s="1186">
        <v>10.8</v>
      </c>
      <c r="J1115" s="1186">
        <v>2.9</v>
      </c>
      <c r="K1115" s="1186">
        <v>9.6</v>
      </c>
      <c r="L1115" s="1186">
        <v>3.8</v>
      </c>
      <c r="M1115" s="1186">
        <v>7.2</v>
      </c>
      <c r="N1115" s="1186">
        <v>4.7</v>
      </c>
      <c r="O1115" s="1186"/>
      <c r="P1115" s="1186"/>
      <c r="Q1115" s="1186">
        <v>8.1</v>
      </c>
      <c r="R1115" s="1186">
        <v>2</v>
      </c>
      <c r="S1115" s="1186">
        <v>6</v>
      </c>
      <c r="T1115" s="1186">
        <v>2.9</v>
      </c>
      <c r="U1115" s="1186"/>
      <c r="V1115" s="1186"/>
      <c r="W1115" s="1186"/>
      <c r="X1115" s="1186"/>
      <c r="Y1115" s="1186"/>
      <c r="Z1115" s="1186"/>
      <c r="AA1115" s="1186"/>
      <c r="AB1115" s="1186"/>
      <c r="AC1115" s="1186"/>
      <c r="AD1115" s="1187"/>
    </row>
    <row r="1116" spans="1:30" x14ac:dyDescent="0.2">
      <c r="A1116">
        <f t="shared" si="51"/>
        <v>29</v>
      </c>
      <c r="B1116">
        <v>1107</v>
      </c>
      <c r="C1116" s="1078">
        <v>2</v>
      </c>
      <c r="D1116" s="1077" t="s">
        <v>3340</v>
      </c>
      <c r="E1116" s="1077" t="s">
        <v>4209</v>
      </c>
      <c r="F1116" s="1185"/>
      <c r="G1116" s="1186"/>
      <c r="H1116" s="1186"/>
      <c r="I1116" s="1186">
        <v>8.1</v>
      </c>
      <c r="J1116" s="1186">
        <v>3.2</v>
      </c>
      <c r="K1116" s="1186">
        <v>9.9</v>
      </c>
      <c r="L1116" s="1186">
        <v>3.9</v>
      </c>
      <c r="M1116" s="1186">
        <v>11.9</v>
      </c>
      <c r="N1116" s="1186">
        <v>4.5</v>
      </c>
      <c r="O1116" s="1186"/>
      <c r="P1116" s="1186"/>
      <c r="Q1116" s="1186">
        <v>7.6</v>
      </c>
      <c r="R1116" s="1186">
        <v>2.2999999999999998</v>
      </c>
      <c r="S1116" s="1186">
        <v>11.1</v>
      </c>
      <c r="T1116" s="1186">
        <v>2.9</v>
      </c>
      <c r="U1116" s="1186"/>
      <c r="V1116" s="1186"/>
      <c r="W1116" s="1186"/>
      <c r="X1116" s="1186"/>
      <c r="Y1116" s="1186"/>
      <c r="Z1116" s="1186"/>
      <c r="AA1116" s="1186"/>
      <c r="AB1116" s="1186"/>
      <c r="AC1116" s="1186"/>
      <c r="AD1116" s="1187"/>
    </row>
    <row r="1117" spans="1:30" x14ac:dyDescent="0.2">
      <c r="A1117">
        <f t="shared" si="51"/>
        <v>29</v>
      </c>
      <c r="B1117">
        <v>1108</v>
      </c>
      <c r="C1117" s="1078">
        <v>2</v>
      </c>
      <c r="D1117" s="1077" t="s">
        <v>3340</v>
      </c>
      <c r="E1117" s="1077" t="s">
        <v>4210</v>
      </c>
      <c r="F1117" s="1185"/>
      <c r="G1117" s="1186"/>
      <c r="H1117" s="1186"/>
      <c r="I1117" s="1186">
        <v>8.1</v>
      </c>
      <c r="J1117" s="1186">
        <v>3</v>
      </c>
      <c r="K1117" s="1186">
        <v>10.1</v>
      </c>
      <c r="L1117" s="1186">
        <v>3.7</v>
      </c>
      <c r="M1117" s="1186">
        <v>12</v>
      </c>
      <c r="N1117" s="1186">
        <v>4.4000000000000004</v>
      </c>
      <c r="O1117" s="1186"/>
      <c r="P1117" s="1186"/>
      <c r="Q1117" s="1186">
        <v>6.3</v>
      </c>
      <c r="R1117" s="1186">
        <v>1.8</v>
      </c>
      <c r="S1117" s="1186">
        <v>10.3</v>
      </c>
      <c r="T1117" s="1186">
        <v>2.7</v>
      </c>
      <c r="U1117" s="1186"/>
      <c r="V1117" s="1186"/>
      <c r="W1117" s="1186"/>
      <c r="X1117" s="1186"/>
      <c r="Y1117" s="1186"/>
      <c r="Z1117" s="1186"/>
      <c r="AA1117" s="1186"/>
      <c r="AB1117" s="1186"/>
      <c r="AC1117" s="1186"/>
      <c r="AD1117" s="1187"/>
    </row>
    <row r="1118" spans="1:30" x14ac:dyDescent="0.2">
      <c r="A1118">
        <f t="shared" si="51"/>
        <v>29</v>
      </c>
      <c r="B1118">
        <v>1109</v>
      </c>
      <c r="C1118" s="1078">
        <v>2</v>
      </c>
      <c r="D1118" s="1077" t="s">
        <v>3340</v>
      </c>
      <c r="E1118" s="1077" t="s">
        <v>4211</v>
      </c>
      <c r="F1118" s="1185"/>
      <c r="G1118" s="1186"/>
      <c r="H1118" s="1186"/>
      <c r="I1118" s="1186">
        <v>9.1999999999999993</v>
      </c>
      <c r="J1118" s="1186">
        <v>3</v>
      </c>
      <c r="K1118" s="1186">
        <v>11.5</v>
      </c>
      <c r="L1118" s="1186">
        <v>3.8</v>
      </c>
      <c r="M1118" s="1186">
        <v>13.7</v>
      </c>
      <c r="N1118" s="1186">
        <v>4.3</v>
      </c>
      <c r="O1118" s="1186"/>
      <c r="P1118" s="1186"/>
      <c r="Q1118" s="1186">
        <v>9.1</v>
      </c>
      <c r="R1118" s="1186">
        <v>2.4</v>
      </c>
      <c r="S1118" s="1186">
        <v>13.2</v>
      </c>
      <c r="T1118" s="1186">
        <v>2.8</v>
      </c>
      <c r="U1118" s="1186"/>
      <c r="V1118" s="1186"/>
      <c r="W1118" s="1186"/>
      <c r="X1118" s="1186"/>
      <c r="Y1118" s="1186"/>
      <c r="Z1118" s="1186"/>
      <c r="AA1118" s="1186"/>
      <c r="AB1118" s="1186"/>
      <c r="AC1118" s="1186"/>
      <c r="AD1118" s="1187"/>
    </row>
    <row r="1119" spans="1:30" x14ac:dyDescent="0.2">
      <c r="A1119">
        <f t="shared" si="51"/>
        <v>29</v>
      </c>
      <c r="B1119">
        <v>1110</v>
      </c>
      <c r="C1119" s="1078">
        <v>2</v>
      </c>
      <c r="D1119" s="1077" t="s">
        <v>3340</v>
      </c>
      <c r="E1119" s="1077" t="s">
        <v>4212</v>
      </c>
      <c r="F1119" s="1185"/>
      <c r="G1119" s="1186"/>
      <c r="H1119" s="1186"/>
      <c r="I1119" s="1186">
        <v>9.4</v>
      </c>
      <c r="J1119" s="1186">
        <v>3.1</v>
      </c>
      <c r="K1119" s="1186">
        <v>11.8</v>
      </c>
      <c r="L1119" s="1186">
        <v>3.8</v>
      </c>
      <c r="M1119" s="1186">
        <v>13.8</v>
      </c>
      <c r="N1119" s="1186">
        <v>4.4000000000000004</v>
      </c>
      <c r="O1119" s="1186"/>
      <c r="P1119" s="1186"/>
      <c r="Q1119" s="1186">
        <v>11</v>
      </c>
      <c r="R1119" s="1186">
        <v>2.6</v>
      </c>
      <c r="S1119" s="1186">
        <v>15.2</v>
      </c>
      <c r="T1119" s="1186">
        <v>3.2</v>
      </c>
      <c r="U1119" s="1186"/>
      <c r="V1119" s="1186"/>
      <c r="W1119" s="1186"/>
      <c r="X1119" s="1186"/>
      <c r="Y1119" s="1186"/>
      <c r="Z1119" s="1186"/>
      <c r="AA1119" s="1186"/>
      <c r="AB1119" s="1186"/>
      <c r="AC1119" s="1186"/>
      <c r="AD1119" s="1187"/>
    </row>
    <row r="1120" spans="1:30" x14ac:dyDescent="0.2">
      <c r="A1120">
        <f t="shared" si="51"/>
        <v>29</v>
      </c>
      <c r="B1120">
        <v>1111</v>
      </c>
      <c r="C1120" s="1078">
        <v>2</v>
      </c>
      <c r="D1120" s="1077" t="s">
        <v>3340</v>
      </c>
      <c r="E1120" s="1077" t="s">
        <v>4213</v>
      </c>
      <c r="F1120" s="1185"/>
      <c r="G1120" s="1186"/>
      <c r="H1120" s="1186"/>
      <c r="I1120" s="1186">
        <v>11.2</v>
      </c>
      <c r="J1120" s="1186">
        <v>3.6</v>
      </c>
      <c r="K1120" s="1186">
        <v>14</v>
      </c>
      <c r="L1120" s="1186">
        <v>4.4000000000000004</v>
      </c>
      <c r="M1120" s="1186">
        <v>15.5</v>
      </c>
      <c r="N1120" s="1186">
        <v>5</v>
      </c>
      <c r="O1120" s="1186"/>
      <c r="P1120" s="1186"/>
      <c r="Q1120" s="1186">
        <v>11.8</v>
      </c>
      <c r="R1120" s="1186">
        <v>2.6</v>
      </c>
      <c r="S1120" s="1186">
        <v>15.2</v>
      </c>
      <c r="T1120" s="1186">
        <v>3.4</v>
      </c>
      <c r="U1120" s="1186"/>
      <c r="V1120" s="1186"/>
      <c r="W1120" s="1186"/>
      <c r="X1120" s="1186"/>
      <c r="Y1120" s="1186"/>
      <c r="Z1120" s="1186"/>
      <c r="AA1120" s="1186"/>
      <c r="AB1120" s="1186"/>
      <c r="AC1120" s="1186"/>
      <c r="AD1120" s="1187"/>
    </row>
    <row r="1121" spans="1:30" x14ac:dyDescent="0.2">
      <c r="A1121">
        <f t="shared" si="51"/>
        <v>29</v>
      </c>
      <c r="B1121">
        <v>1112</v>
      </c>
      <c r="C1121" s="1078">
        <v>2</v>
      </c>
      <c r="D1121" s="1077" t="s">
        <v>3340</v>
      </c>
      <c r="E1121" s="1077" t="s">
        <v>4214</v>
      </c>
      <c r="F1121" s="1185"/>
      <c r="G1121" s="1186"/>
      <c r="H1121" s="1186"/>
      <c r="I1121" s="1186">
        <v>12.8</v>
      </c>
      <c r="J1121" s="1186">
        <v>3</v>
      </c>
      <c r="K1121" s="1186">
        <v>15.4</v>
      </c>
      <c r="L1121" s="1186">
        <v>3.5</v>
      </c>
      <c r="M1121" s="1186">
        <v>17.7</v>
      </c>
      <c r="N1121" s="1186">
        <v>4</v>
      </c>
      <c r="O1121" s="1186"/>
      <c r="P1121" s="1186"/>
      <c r="Q1121" s="1186">
        <v>15.2</v>
      </c>
      <c r="R1121" s="1186">
        <v>2.5</v>
      </c>
      <c r="S1121" s="1186">
        <v>19</v>
      </c>
      <c r="T1121" s="1186">
        <v>2.9</v>
      </c>
      <c r="U1121" s="1186"/>
      <c r="V1121" s="1186"/>
      <c r="W1121" s="1186"/>
      <c r="X1121" s="1186"/>
      <c r="Y1121" s="1186"/>
      <c r="Z1121" s="1186"/>
      <c r="AA1121" s="1186"/>
      <c r="AB1121" s="1186"/>
      <c r="AC1121" s="1186"/>
      <c r="AD1121" s="1187"/>
    </row>
    <row r="1122" spans="1:30" x14ac:dyDescent="0.2">
      <c r="A1122">
        <f t="shared" si="51"/>
        <v>29</v>
      </c>
      <c r="B1122">
        <v>1113</v>
      </c>
      <c r="C1122" s="1078">
        <v>2</v>
      </c>
      <c r="D1122" s="1077" t="s">
        <v>3340</v>
      </c>
      <c r="E1122" s="1077" t="s">
        <v>4215</v>
      </c>
      <c r="F1122" s="1185"/>
      <c r="G1122" s="1186"/>
      <c r="H1122" s="1186"/>
      <c r="I1122" s="1186">
        <v>12.7</v>
      </c>
      <c r="J1122" s="1186">
        <v>3.1</v>
      </c>
      <c r="K1122" s="1186">
        <v>16.3</v>
      </c>
      <c r="L1122" s="1186">
        <v>3.8</v>
      </c>
      <c r="M1122" s="1186">
        <v>18.600000000000001</v>
      </c>
      <c r="N1122" s="1186">
        <v>4.3</v>
      </c>
      <c r="O1122" s="1186"/>
      <c r="P1122" s="1186"/>
      <c r="Q1122" s="1186">
        <v>11.6</v>
      </c>
      <c r="R1122" s="1186">
        <v>2.2999999999999998</v>
      </c>
      <c r="S1122" s="1186">
        <v>16.600000000000001</v>
      </c>
      <c r="T1122" s="1186">
        <v>2.7</v>
      </c>
      <c r="U1122" s="1186"/>
      <c r="V1122" s="1186"/>
      <c r="W1122" s="1186"/>
      <c r="X1122" s="1186"/>
      <c r="Y1122" s="1186"/>
      <c r="Z1122" s="1186"/>
      <c r="AA1122" s="1186"/>
      <c r="AB1122" s="1186"/>
      <c r="AC1122" s="1186"/>
      <c r="AD1122" s="1187"/>
    </row>
    <row r="1123" spans="1:30" x14ac:dyDescent="0.2">
      <c r="A1123">
        <f t="shared" si="51"/>
        <v>29</v>
      </c>
      <c r="B1123">
        <v>1114</v>
      </c>
      <c r="C1123" s="1078">
        <v>2</v>
      </c>
      <c r="D1123" s="1077" t="s">
        <v>3340</v>
      </c>
      <c r="E1123" s="1077" t="s">
        <v>4216</v>
      </c>
      <c r="F1123" s="1185"/>
      <c r="G1123" s="1186"/>
      <c r="H1123" s="1186"/>
      <c r="I1123" s="1186">
        <v>14.2</v>
      </c>
      <c r="J1123" s="1186">
        <v>3.1</v>
      </c>
      <c r="K1123" s="1186">
        <v>18.600000000000001</v>
      </c>
      <c r="L1123" s="1186">
        <v>3.8</v>
      </c>
      <c r="M1123" s="1186">
        <v>21.9</v>
      </c>
      <c r="N1123" s="1186">
        <v>4.3</v>
      </c>
      <c r="O1123" s="1186"/>
      <c r="P1123" s="1186"/>
      <c r="Q1123" s="1186">
        <v>14</v>
      </c>
      <c r="R1123" s="1186">
        <v>2.2999999999999998</v>
      </c>
      <c r="S1123" s="1186">
        <v>20.8</v>
      </c>
      <c r="T1123" s="1186">
        <v>2.8</v>
      </c>
      <c r="U1123" s="1186"/>
      <c r="V1123" s="1186"/>
      <c r="W1123" s="1186"/>
      <c r="X1123" s="1186"/>
      <c r="Y1123" s="1186"/>
      <c r="Z1123" s="1186"/>
      <c r="AA1123" s="1186"/>
      <c r="AB1123" s="1186"/>
      <c r="AC1123" s="1186"/>
      <c r="AD1123" s="1187"/>
    </row>
    <row r="1124" spans="1:30" x14ac:dyDescent="0.2">
      <c r="A1124">
        <f t="shared" si="51"/>
        <v>29</v>
      </c>
      <c r="B1124">
        <v>1115</v>
      </c>
      <c r="C1124" s="1078">
        <v>2</v>
      </c>
      <c r="D1124" s="1077" t="s">
        <v>3340</v>
      </c>
      <c r="E1124" s="1077" t="s">
        <v>4217</v>
      </c>
      <c r="F1124" s="1185"/>
      <c r="G1124" s="1186"/>
      <c r="H1124" s="1186"/>
      <c r="I1124" s="1186">
        <v>15.6</v>
      </c>
      <c r="J1124" s="1186">
        <v>3.5</v>
      </c>
      <c r="K1124" s="1186">
        <v>18.7</v>
      </c>
      <c r="L1124" s="1186">
        <v>4.2</v>
      </c>
      <c r="M1124" s="1186">
        <v>20.8</v>
      </c>
      <c r="N1124" s="1186">
        <v>4.5999999999999996</v>
      </c>
      <c r="O1124" s="1186"/>
      <c r="P1124" s="1186"/>
      <c r="Q1124" s="1186">
        <v>16.5</v>
      </c>
      <c r="R1124" s="1186">
        <v>2.5</v>
      </c>
      <c r="S1124" s="1186">
        <v>21.6</v>
      </c>
      <c r="T1124" s="1186">
        <v>3.2</v>
      </c>
      <c r="U1124" s="1186"/>
      <c r="V1124" s="1186"/>
      <c r="W1124" s="1186"/>
      <c r="X1124" s="1186"/>
      <c r="Y1124" s="1186"/>
      <c r="Z1124" s="1186"/>
      <c r="AA1124" s="1186"/>
      <c r="AB1124" s="1186"/>
      <c r="AC1124" s="1186"/>
      <c r="AD1124" s="1187"/>
    </row>
    <row r="1125" spans="1:30" x14ac:dyDescent="0.2">
      <c r="A1125">
        <f t="shared" si="51"/>
        <v>29</v>
      </c>
      <c r="B1125">
        <v>1116</v>
      </c>
      <c r="C1125" s="1078">
        <v>2</v>
      </c>
      <c r="D1125" s="1077" t="s">
        <v>3340</v>
      </c>
      <c r="E1125" s="1077" t="s">
        <v>4218</v>
      </c>
      <c r="F1125" s="1185"/>
      <c r="G1125" s="1186"/>
      <c r="H1125" s="1186"/>
      <c r="I1125" s="1186">
        <v>25.4</v>
      </c>
      <c r="J1125" s="1186">
        <v>3.1</v>
      </c>
      <c r="K1125" s="1186">
        <v>23.6</v>
      </c>
      <c r="L1125" s="1186">
        <v>3.8</v>
      </c>
      <c r="M1125" s="1186">
        <v>37.299999999999997</v>
      </c>
      <c r="N1125" s="1186">
        <v>4.3</v>
      </c>
      <c r="O1125" s="1186"/>
      <c r="P1125" s="1186"/>
      <c r="Q1125" s="1186">
        <v>23.2</v>
      </c>
      <c r="R1125" s="1186">
        <v>2.2999999999999998</v>
      </c>
      <c r="S1125" s="1186">
        <v>33.200000000000003</v>
      </c>
      <c r="T1125" s="1186">
        <v>2.7</v>
      </c>
      <c r="U1125" s="1186"/>
      <c r="V1125" s="1186"/>
      <c r="W1125" s="1186"/>
      <c r="X1125" s="1186"/>
      <c r="Y1125" s="1186"/>
      <c r="Z1125" s="1186"/>
      <c r="AA1125" s="1186"/>
      <c r="AB1125" s="1186"/>
      <c r="AC1125" s="1186"/>
      <c r="AD1125" s="1187"/>
    </row>
    <row r="1126" spans="1:30" x14ac:dyDescent="0.2">
      <c r="A1126">
        <f t="shared" si="51"/>
        <v>29</v>
      </c>
      <c r="B1126">
        <v>1117</v>
      </c>
      <c r="C1126" s="1078">
        <v>2</v>
      </c>
      <c r="D1126" s="1077" t="s">
        <v>3340</v>
      </c>
      <c r="E1126" s="1077" t="s">
        <v>4219</v>
      </c>
      <c r="F1126" s="1185"/>
      <c r="G1126" s="1186"/>
      <c r="H1126" s="1186"/>
      <c r="I1126" s="1186">
        <v>18.899999999999999</v>
      </c>
      <c r="J1126" s="1186">
        <v>3.1</v>
      </c>
      <c r="K1126" s="1186">
        <v>24.5</v>
      </c>
      <c r="L1126" s="1186">
        <v>3.7</v>
      </c>
      <c r="M1126" s="1186">
        <v>28.9</v>
      </c>
      <c r="N1126" s="1186">
        <v>4.2</v>
      </c>
      <c r="O1126" s="1186"/>
      <c r="P1126" s="1186"/>
      <c r="Q1126" s="1186">
        <v>17.600000000000001</v>
      </c>
      <c r="R1126" s="1186">
        <v>2.2999999999999998</v>
      </c>
      <c r="S1126" s="1186">
        <v>27.8</v>
      </c>
      <c r="T1126" s="1186">
        <v>2.9</v>
      </c>
      <c r="U1126" s="1186"/>
      <c r="V1126" s="1186"/>
      <c r="W1126" s="1186"/>
      <c r="X1126" s="1186"/>
      <c r="Y1126" s="1186"/>
      <c r="Z1126" s="1186"/>
      <c r="AA1126" s="1186"/>
      <c r="AB1126" s="1186"/>
      <c r="AC1126" s="1186"/>
      <c r="AD1126" s="1187"/>
    </row>
    <row r="1127" spans="1:30" x14ac:dyDescent="0.2">
      <c r="A1127">
        <f t="shared" si="51"/>
        <v>29</v>
      </c>
      <c r="B1127">
        <v>1118</v>
      </c>
      <c r="C1127" s="1078">
        <v>2</v>
      </c>
      <c r="D1127" s="1077" t="s">
        <v>3340</v>
      </c>
      <c r="E1127" s="1077" t="s">
        <v>4220</v>
      </c>
      <c r="F1127" s="1185"/>
      <c r="G1127" s="1186"/>
      <c r="H1127" s="1186"/>
      <c r="I1127" s="1186">
        <v>25.6</v>
      </c>
      <c r="J1127" s="1186">
        <v>3.5</v>
      </c>
      <c r="K1127" s="1186">
        <v>29.8</v>
      </c>
      <c r="L1127" s="1186">
        <v>4</v>
      </c>
      <c r="M1127" s="1186">
        <v>32.9</v>
      </c>
      <c r="N1127" s="1186">
        <v>4.4000000000000004</v>
      </c>
      <c r="O1127" s="1186"/>
      <c r="P1127" s="1186"/>
      <c r="Q1127" s="1186">
        <v>27.5</v>
      </c>
      <c r="R1127" s="1186">
        <v>2.5</v>
      </c>
      <c r="S1127" s="1186">
        <v>34.6</v>
      </c>
      <c r="T1127" s="1186">
        <v>3.2</v>
      </c>
      <c r="U1127" s="1186"/>
      <c r="V1127" s="1186"/>
      <c r="W1127" s="1186"/>
      <c r="X1127" s="1186"/>
      <c r="Y1127" s="1186"/>
      <c r="Z1127" s="1186"/>
      <c r="AA1127" s="1186"/>
      <c r="AB1127" s="1186"/>
      <c r="AC1127" s="1186"/>
      <c r="AD1127" s="1187"/>
    </row>
    <row r="1128" spans="1:30" x14ac:dyDescent="0.2">
      <c r="A1128">
        <f t="shared" si="51"/>
        <v>29</v>
      </c>
      <c r="B1128">
        <v>1119</v>
      </c>
      <c r="C1128" s="1078">
        <v>2</v>
      </c>
      <c r="D1128" s="1077" t="s">
        <v>3340</v>
      </c>
      <c r="E1128" s="1077" t="s">
        <v>4221</v>
      </c>
      <c r="F1128" s="1185"/>
      <c r="G1128" s="1186"/>
      <c r="H1128" s="1186"/>
      <c r="I1128" s="1186">
        <v>28.5</v>
      </c>
      <c r="J1128" s="1186">
        <v>3.1</v>
      </c>
      <c r="K1128" s="1186">
        <v>37.200000000000003</v>
      </c>
      <c r="L1128" s="1186">
        <v>3.8</v>
      </c>
      <c r="M1128" s="1186">
        <v>43.8</v>
      </c>
      <c r="N1128" s="1186">
        <v>4.3</v>
      </c>
      <c r="O1128" s="1186"/>
      <c r="P1128" s="1186"/>
      <c r="Q1128" s="1186">
        <v>28</v>
      </c>
      <c r="R1128" s="1186">
        <v>2.2999999999999998</v>
      </c>
      <c r="S1128" s="1186">
        <v>41.6</v>
      </c>
      <c r="T1128" s="1186">
        <v>2.8</v>
      </c>
      <c r="U1128" s="1186"/>
      <c r="V1128" s="1186"/>
      <c r="W1128" s="1186"/>
      <c r="X1128" s="1186"/>
      <c r="Y1128" s="1186"/>
      <c r="Z1128" s="1186"/>
      <c r="AA1128" s="1186"/>
      <c r="AB1128" s="1186"/>
      <c r="AC1128" s="1186"/>
      <c r="AD1128" s="1187"/>
    </row>
    <row r="1129" spans="1:30" x14ac:dyDescent="0.2">
      <c r="A1129">
        <f t="shared" si="51"/>
        <v>29</v>
      </c>
      <c r="B1129">
        <v>1120</v>
      </c>
      <c r="C1129" s="1078">
        <v>3</v>
      </c>
      <c r="D1129" s="1077" t="s">
        <v>3340</v>
      </c>
      <c r="E1129" s="1077" t="s">
        <v>4222</v>
      </c>
      <c r="F1129" s="1185">
        <v>4</v>
      </c>
      <c r="G1129" s="1186"/>
      <c r="H1129" s="1186"/>
      <c r="I1129" s="1186"/>
      <c r="J1129" s="1186"/>
      <c r="K1129" s="1186"/>
      <c r="L1129" s="1186"/>
      <c r="M1129" s="1186"/>
      <c r="N1129" s="1186"/>
      <c r="O1129" s="1186"/>
      <c r="P1129" s="1186"/>
      <c r="Q1129" s="1186"/>
      <c r="R1129" s="1186"/>
      <c r="S1129" s="1186"/>
      <c r="T1129" s="1186"/>
      <c r="U1129" s="1186"/>
      <c r="V1129" s="1186"/>
      <c r="W1129" s="1186">
        <v>3.3</v>
      </c>
      <c r="X1129" s="1186">
        <v>4.9000000000000004</v>
      </c>
      <c r="Y1129" s="1186">
        <v>3</v>
      </c>
      <c r="Z1129" s="1186">
        <v>3.1</v>
      </c>
      <c r="AA1129" s="1186">
        <v>4.5</v>
      </c>
      <c r="AB1129" s="1186">
        <v>6.6</v>
      </c>
      <c r="AC1129" s="1186">
        <v>4</v>
      </c>
      <c r="AD1129" s="1187"/>
    </row>
    <row r="1130" spans="1:30" x14ac:dyDescent="0.2">
      <c r="A1130">
        <f t="shared" si="51"/>
        <v>29</v>
      </c>
      <c r="B1130">
        <v>1121</v>
      </c>
      <c r="C1130" s="1078">
        <v>3</v>
      </c>
      <c r="D1130" s="1077" t="s">
        <v>3340</v>
      </c>
      <c r="E1130" s="1077" t="s">
        <v>4223</v>
      </c>
      <c r="F1130" s="1185">
        <v>4</v>
      </c>
      <c r="G1130" s="1186"/>
      <c r="H1130" s="1186"/>
      <c r="I1130" s="1186"/>
      <c r="J1130" s="1186"/>
      <c r="K1130" s="1186"/>
      <c r="L1130" s="1186"/>
      <c r="M1130" s="1186"/>
      <c r="N1130" s="1186"/>
      <c r="O1130" s="1186"/>
      <c r="P1130" s="1186"/>
      <c r="Q1130" s="1186"/>
      <c r="R1130" s="1186"/>
      <c r="S1130" s="1186"/>
      <c r="T1130" s="1186"/>
      <c r="U1130" s="1186"/>
      <c r="V1130" s="1186"/>
      <c r="W1130" s="1186">
        <v>3.3</v>
      </c>
      <c r="X1130" s="1186">
        <v>4.9000000000000004</v>
      </c>
      <c r="Y1130" s="1186">
        <v>3</v>
      </c>
      <c r="Z1130" s="1186">
        <v>3.1</v>
      </c>
      <c r="AA1130" s="1186">
        <v>4.5</v>
      </c>
      <c r="AB1130" s="1186">
        <v>6.6</v>
      </c>
      <c r="AC1130" s="1186">
        <v>4</v>
      </c>
      <c r="AD1130" s="1187"/>
    </row>
    <row r="1131" spans="1:30" x14ac:dyDescent="0.2">
      <c r="A1131">
        <f t="shared" si="51"/>
        <v>29</v>
      </c>
      <c r="B1131">
        <v>1122</v>
      </c>
      <c r="C1131" s="1078">
        <v>3</v>
      </c>
      <c r="D1131" s="1077" t="s">
        <v>3340</v>
      </c>
      <c r="E1131" s="1077" t="s">
        <v>4224</v>
      </c>
      <c r="F1131" s="1185">
        <v>1</v>
      </c>
      <c r="G1131" s="1186"/>
      <c r="H1131" s="1186"/>
      <c r="I1131" s="1186"/>
      <c r="J1131" s="1186"/>
      <c r="K1131" s="1186"/>
      <c r="L1131" s="1186"/>
      <c r="M1131" s="1186"/>
      <c r="N1131" s="1186"/>
      <c r="O1131" s="1186"/>
      <c r="P1131" s="1186"/>
      <c r="Q1131" s="1186"/>
      <c r="R1131" s="1186"/>
      <c r="S1131" s="1186"/>
      <c r="T1131" s="1186"/>
      <c r="U1131" s="1186"/>
      <c r="V1131" s="1186"/>
      <c r="W1131" s="1186">
        <v>4.7</v>
      </c>
      <c r="X1131" s="1186">
        <v>4.3</v>
      </c>
      <c r="Y1131" s="1186">
        <v>3.6</v>
      </c>
      <c r="Z1131" s="1186">
        <v>2.8</v>
      </c>
      <c r="AA1131" s="1186">
        <v>6.5</v>
      </c>
      <c r="AB1131" s="1186">
        <v>5.6</v>
      </c>
      <c r="AC1131" s="1186">
        <v>5.2</v>
      </c>
      <c r="AD1131" s="1187"/>
    </row>
    <row r="1132" spans="1:30" x14ac:dyDescent="0.2">
      <c r="A1132">
        <f t="shared" si="51"/>
        <v>29</v>
      </c>
      <c r="B1132">
        <v>1123</v>
      </c>
      <c r="C1132" s="1078">
        <v>3</v>
      </c>
      <c r="D1132" s="1077" t="s">
        <v>3340</v>
      </c>
      <c r="E1132" s="1077" t="s">
        <v>4225</v>
      </c>
      <c r="F1132" s="1185">
        <v>1</v>
      </c>
      <c r="G1132" s="1186"/>
      <c r="H1132" s="1186"/>
      <c r="I1132" s="1186"/>
      <c r="J1132" s="1186"/>
      <c r="K1132" s="1186"/>
      <c r="L1132" s="1186"/>
      <c r="M1132" s="1186"/>
      <c r="N1132" s="1186"/>
      <c r="O1132" s="1186"/>
      <c r="P1132" s="1186"/>
      <c r="Q1132" s="1186"/>
      <c r="R1132" s="1186"/>
      <c r="S1132" s="1186"/>
      <c r="T1132" s="1186"/>
      <c r="U1132" s="1186"/>
      <c r="V1132" s="1186"/>
      <c r="W1132" s="1186">
        <v>4.7</v>
      </c>
      <c r="X1132" s="1186">
        <v>4.3</v>
      </c>
      <c r="Y1132" s="1186">
        <v>3.6</v>
      </c>
      <c r="Z1132" s="1186">
        <v>2.8</v>
      </c>
      <c r="AA1132" s="1186">
        <v>6.5</v>
      </c>
      <c r="AB1132" s="1186">
        <v>5.6</v>
      </c>
      <c r="AC1132" s="1186">
        <v>5.2</v>
      </c>
      <c r="AD1132" s="1187"/>
    </row>
    <row r="1133" spans="1:30" x14ac:dyDescent="0.2">
      <c r="A1133">
        <f t="shared" si="51"/>
        <v>29</v>
      </c>
      <c r="B1133">
        <v>1124</v>
      </c>
      <c r="C1133" s="1078">
        <v>3</v>
      </c>
      <c r="D1133" s="1077" t="s">
        <v>3340</v>
      </c>
      <c r="E1133" s="1077" t="s">
        <v>4226</v>
      </c>
      <c r="F1133" s="1185">
        <v>1</v>
      </c>
      <c r="G1133" s="1186"/>
      <c r="H1133" s="1186"/>
      <c r="I1133" s="1186"/>
      <c r="J1133" s="1186"/>
      <c r="K1133" s="1186"/>
      <c r="L1133" s="1186"/>
      <c r="M1133" s="1186"/>
      <c r="N1133" s="1186"/>
      <c r="O1133" s="1186"/>
      <c r="P1133" s="1186"/>
      <c r="Q1133" s="1186"/>
      <c r="R1133" s="1186"/>
      <c r="S1133" s="1186"/>
      <c r="T1133" s="1186"/>
      <c r="U1133" s="1186"/>
      <c r="V1133" s="1186"/>
      <c r="W1133" s="1186">
        <v>6.1</v>
      </c>
      <c r="X1133" s="1186">
        <v>4.5999999999999996</v>
      </c>
      <c r="Y1133" s="1186">
        <v>4.8</v>
      </c>
      <c r="Z1133" s="1186">
        <v>3.1</v>
      </c>
      <c r="AA1133" s="1186">
        <v>7.7</v>
      </c>
      <c r="AB1133" s="1186">
        <v>5.6</v>
      </c>
      <c r="AC1133" s="1186">
        <v>6.9</v>
      </c>
      <c r="AD1133" s="1187"/>
    </row>
    <row r="1134" spans="1:30" x14ac:dyDescent="0.2">
      <c r="A1134">
        <f t="shared" si="51"/>
        <v>29</v>
      </c>
      <c r="B1134">
        <v>1125</v>
      </c>
      <c r="C1134" s="1078">
        <v>3</v>
      </c>
      <c r="D1134" s="1077" t="s">
        <v>3340</v>
      </c>
      <c r="E1134" s="1077" t="s">
        <v>4227</v>
      </c>
      <c r="F1134" s="1185">
        <v>1</v>
      </c>
      <c r="G1134" s="1186"/>
      <c r="H1134" s="1186"/>
      <c r="I1134" s="1186"/>
      <c r="J1134" s="1186"/>
      <c r="K1134" s="1186"/>
      <c r="L1134" s="1186"/>
      <c r="M1134" s="1186"/>
      <c r="N1134" s="1186"/>
      <c r="O1134" s="1186"/>
      <c r="P1134" s="1186"/>
      <c r="Q1134" s="1186"/>
      <c r="R1134" s="1186"/>
      <c r="S1134" s="1186"/>
      <c r="T1134" s="1186"/>
      <c r="U1134" s="1186"/>
      <c r="V1134" s="1186"/>
      <c r="W1134" s="1186">
        <v>6.1</v>
      </c>
      <c r="X1134" s="1186">
        <v>4.5999999999999996</v>
      </c>
      <c r="Y1134" s="1186">
        <v>4.8</v>
      </c>
      <c r="Z1134" s="1186">
        <v>3.1</v>
      </c>
      <c r="AA1134" s="1186">
        <v>7.7</v>
      </c>
      <c r="AB1134" s="1186">
        <v>5.5</v>
      </c>
      <c r="AC1134" s="1186">
        <v>6.9</v>
      </c>
      <c r="AD1134" s="1187"/>
    </row>
    <row r="1135" spans="1:30" x14ac:dyDescent="0.2">
      <c r="A1135">
        <f t="shared" si="51"/>
        <v>29</v>
      </c>
      <c r="B1135">
        <v>1126</v>
      </c>
      <c r="C1135" s="1078">
        <v>3</v>
      </c>
      <c r="D1135" s="1077" t="s">
        <v>3340</v>
      </c>
      <c r="E1135" s="1077" t="s">
        <v>4228</v>
      </c>
      <c r="F1135" s="1185">
        <v>1</v>
      </c>
      <c r="G1135" s="1186"/>
      <c r="H1135" s="1186"/>
      <c r="I1135" s="1186"/>
      <c r="J1135" s="1186"/>
      <c r="K1135" s="1186"/>
      <c r="L1135" s="1186"/>
      <c r="M1135" s="1186"/>
      <c r="N1135" s="1186"/>
      <c r="O1135" s="1186"/>
      <c r="P1135" s="1186"/>
      <c r="Q1135" s="1186"/>
      <c r="R1135" s="1186"/>
      <c r="S1135" s="1186"/>
      <c r="T1135" s="1186"/>
      <c r="U1135" s="1186"/>
      <c r="V1135" s="1186"/>
      <c r="W1135" s="1186">
        <v>8.1</v>
      </c>
      <c r="X1135" s="1186">
        <v>4.8</v>
      </c>
      <c r="Y1135" s="1186">
        <v>6.3</v>
      </c>
      <c r="Z1135" s="1186">
        <v>3.2</v>
      </c>
      <c r="AA1135" s="1186">
        <v>10.9</v>
      </c>
      <c r="AB1135" s="1186">
        <v>5.9</v>
      </c>
      <c r="AC1135" s="1186">
        <v>9.3000000000000007</v>
      </c>
      <c r="AD1135" s="1187"/>
    </row>
    <row r="1136" spans="1:30" x14ac:dyDescent="0.2">
      <c r="A1136">
        <f t="shared" si="51"/>
        <v>29</v>
      </c>
      <c r="B1136">
        <v>1127</v>
      </c>
      <c r="C1136" s="1078">
        <v>3</v>
      </c>
      <c r="D1136" s="1077" t="s">
        <v>3340</v>
      </c>
      <c r="E1136" s="1077" t="s">
        <v>4229</v>
      </c>
      <c r="F1136" s="1185">
        <v>1</v>
      </c>
      <c r="G1136" s="1186"/>
      <c r="H1136" s="1186"/>
      <c r="I1136" s="1186"/>
      <c r="J1136" s="1186"/>
      <c r="K1136" s="1186"/>
      <c r="L1136" s="1186"/>
      <c r="M1136" s="1186"/>
      <c r="N1136" s="1186"/>
      <c r="O1136" s="1186"/>
      <c r="P1136" s="1186"/>
      <c r="Q1136" s="1186"/>
      <c r="R1136" s="1186"/>
      <c r="S1136" s="1186"/>
      <c r="T1136" s="1186"/>
      <c r="U1136" s="1186"/>
      <c r="V1136" s="1186"/>
      <c r="W1136" s="1186">
        <v>8.1</v>
      </c>
      <c r="X1136" s="1186">
        <v>4.8</v>
      </c>
      <c r="Y1136" s="1186">
        <v>6.3</v>
      </c>
      <c r="Z1136" s="1186">
        <v>3.2</v>
      </c>
      <c r="AA1136" s="1186">
        <v>10.9</v>
      </c>
      <c r="AB1136" s="1186">
        <v>5.9</v>
      </c>
      <c r="AC1136" s="1186">
        <v>9.3000000000000007</v>
      </c>
      <c r="AD1136" s="1187"/>
    </row>
    <row r="1137" spans="1:30" x14ac:dyDescent="0.2">
      <c r="A1137">
        <f t="shared" si="51"/>
        <v>29</v>
      </c>
      <c r="B1137">
        <v>1128</v>
      </c>
      <c r="C1137" s="1078">
        <v>3</v>
      </c>
      <c r="D1137" s="1077" t="s">
        <v>3340</v>
      </c>
      <c r="E1137" s="1077" t="s">
        <v>4230</v>
      </c>
      <c r="F1137" s="1185">
        <v>4</v>
      </c>
      <c r="G1137" s="1186"/>
      <c r="H1137" s="1186"/>
      <c r="I1137" s="1186"/>
      <c r="J1137" s="1186"/>
      <c r="K1137" s="1186"/>
      <c r="L1137" s="1186"/>
      <c r="M1137" s="1186"/>
      <c r="N1137" s="1186"/>
      <c r="O1137" s="1186"/>
      <c r="P1137" s="1186"/>
      <c r="Q1137" s="1186"/>
      <c r="R1137" s="1186"/>
      <c r="S1137" s="1186"/>
      <c r="T1137" s="1186"/>
      <c r="U1137" s="1186"/>
      <c r="V1137" s="1186"/>
      <c r="W1137" s="1186">
        <v>9.4</v>
      </c>
      <c r="X1137" s="1186">
        <v>4.9000000000000004</v>
      </c>
      <c r="Y1137" s="1186">
        <v>9.1</v>
      </c>
      <c r="Z1137" s="1186">
        <v>3.2</v>
      </c>
      <c r="AA1137" s="1186">
        <v>12</v>
      </c>
      <c r="AB1137" s="1186">
        <v>6.4</v>
      </c>
      <c r="AC1137" s="1186">
        <v>11.6</v>
      </c>
      <c r="AD1137" s="1187"/>
    </row>
    <row r="1138" spans="1:30" x14ac:dyDescent="0.2">
      <c r="A1138">
        <f t="shared" si="51"/>
        <v>29</v>
      </c>
      <c r="B1138">
        <v>1129</v>
      </c>
      <c r="C1138" s="1078">
        <v>3</v>
      </c>
      <c r="D1138" s="1077" t="s">
        <v>3340</v>
      </c>
      <c r="E1138" s="1077" t="s">
        <v>4231</v>
      </c>
      <c r="F1138" s="1185">
        <v>4</v>
      </c>
      <c r="G1138" s="1186"/>
      <c r="H1138" s="1186"/>
      <c r="I1138" s="1186"/>
      <c r="J1138" s="1186"/>
      <c r="K1138" s="1186"/>
      <c r="L1138" s="1186"/>
      <c r="M1138" s="1186"/>
      <c r="N1138" s="1186"/>
      <c r="O1138" s="1186"/>
      <c r="P1138" s="1186"/>
      <c r="Q1138" s="1186"/>
      <c r="R1138" s="1186"/>
      <c r="S1138" s="1186"/>
      <c r="T1138" s="1186"/>
      <c r="U1138" s="1186"/>
      <c r="V1138" s="1186"/>
      <c r="W1138" s="1186">
        <v>9.4</v>
      </c>
      <c r="X1138" s="1186">
        <v>4.9000000000000004</v>
      </c>
      <c r="Y1138" s="1186">
        <v>9.1</v>
      </c>
      <c r="Z1138" s="1186">
        <v>3.2</v>
      </c>
      <c r="AA1138" s="1186">
        <v>12</v>
      </c>
      <c r="AB1138" s="1186">
        <v>6.4</v>
      </c>
      <c r="AC1138" s="1186">
        <v>11.6</v>
      </c>
      <c r="AD1138" s="1187"/>
    </row>
    <row r="1139" spans="1:30" x14ac:dyDescent="0.2">
      <c r="A1139">
        <f t="shared" si="51"/>
        <v>29</v>
      </c>
      <c r="B1139">
        <v>1130</v>
      </c>
      <c r="C1139" s="1078">
        <v>3</v>
      </c>
      <c r="D1139" s="1077" t="s">
        <v>3340</v>
      </c>
      <c r="E1139" s="1077" t="s">
        <v>4232</v>
      </c>
      <c r="F1139" s="1185">
        <v>1</v>
      </c>
      <c r="G1139" s="1186"/>
      <c r="H1139" s="1186"/>
      <c r="I1139" s="1186"/>
      <c r="J1139" s="1186"/>
      <c r="K1139" s="1186"/>
      <c r="L1139" s="1186"/>
      <c r="M1139" s="1186"/>
      <c r="N1139" s="1186"/>
      <c r="O1139" s="1186"/>
      <c r="P1139" s="1186"/>
      <c r="Q1139" s="1186"/>
      <c r="R1139" s="1186"/>
      <c r="S1139" s="1186"/>
      <c r="T1139" s="1186"/>
      <c r="U1139" s="1186"/>
      <c r="V1139" s="1186"/>
      <c r="W1139" s="1186">
        <v>9.6999999999999993</v>
      </c>
      <c r="X1139" s="1186">
        <v>4.8</v>
      </c>
      <c r="Y1139" s="1186">
        <v>8.1</v>
      </c>
      <c r="Z1139" s="1186">
        <v>3.3</v>
      </c>
      <c r="AA1139" s="1186">
        <v>12.8</v>
      </c>
      <c r="AB1139" s="1186">
        <v>5.9</v>
      </c>
      <c r="AC1139" s="1186">
        <v>10.9</v>
      </c>
      <c r="AD1139" s="1187"/>
    </row>
    <row r="1140" spans="1:30" x14ac:dyDescent="0.2">
      <c r="A1140">
        <f t="shared" si="51"/>
        <v>29</v>
      </c>
      <c r="B1140">
        <v>1131</v>
      </c>
      <c r="C1140" s="1078">
        <v>3</v>
      </c>
      <c r="D1140" s="1077" t="s">
        <v>3340</v>
      </c>
      <c r="E1140" s="1077" t="s">
        <v>4233</v>
      </c>
      <c r="F1140" s="1185">
        <v>1</v>
      </c>
      <c r="G1140" s="1186"/>
      <c r="H1140" s="1186"/>
      <c r="I1140" s="1186"/>
      <c r="J1140" s="1186"/>
      <c r="K1140" s="1186"/>
      <c r="L1140" s="1186"/>
      <c r="M1140" s="1186"/>
      <c r="N1140" s="1186"/>
      <c r="O1140" s="1186"/>
      <c r="P1140" s="1186"/>
      <c r="Q1140" s="1186"/>
      <c r="R1140" s="1186"/>
      <c r="S1140" s="1186"/>
      <c r="T1140" s="1186"/>
      <c r="U1140" s="1186"/>
      <c r="V1140" s="1186"/>
      <c r="W1140" s="1186">
        <v>9.6999999999999993</v>
      </c>
      <c r="X1140" s="1186">
        <v>4.8</v>
      </c>
      <c r="Y1140" s="1186">
        <v>8.1</v>
      </c>
      <c r="Z1140" s="1186">
        <v>3.3</v>
      </c>
      <c r="AA1140" s="1186">
        <v>12.8</v>
      </c>
      <c r="AB1140" s="1186">
        <v>5.9</v>
      </c>
      <c r="AC1140" s="1186">
        <v>10.9</v>
      </c>
      <c r="AD1140" s="1187"/>
    </row>
    <row r="1141" spans="1:30" x14ac:dyDescent="0.2">
      <c r="A1141">
        <f t="shared" si="51"/>
        <v>29</v>
      </c>
      <c r="B1141">
        <v>1132</v>
      </c>
      <c r="C1141" s="1078">
        <v>3</v>
      </c>
      <c r="D1141" s="1077" t="s">
        <v>3340</v>
      </c>
      <c r="E1141" s="1077" t="s">
        <v>4234</v>
      </c>
      <c r="F1141" s="1185">
        <v>1</v>
      </c>
      <c r="G1141" s="1186"/>
      <c r="H1141" s="1186"/>
      <c r="I1141" s="1186"/>
      <c r="J1141" s="1186"/>
      <c r="K1141" s="1186"/>
      <c r="L1141" s="1186"/>
      <c r="M1141" s="1186"/>
      <c r="N1141" s="1186"/>
      <c r="O1141" s="1186"/>
      <c r="P1141" s="1186"/>
      <c r="Q1141" s="1186"/>
      <c r="R1141" s="1186"/>
      <c r="S1141" s="1186"/>
      <c r="T1141" s="1186"/>
      <c r="U1141" s="1186"/>
      <c r="V1141" s="1186"/>
      <c r="W1141" s="1186">
        <v>11.8</v>
      </c>
      <c r="X1141" s="1186">
        <v>4.5999999999999996</v>
      </c>
      <c r="Y1141" s="1186">
        <v>10.9</v>
      </c>
      <c r="Z1141" s="1186">
        <v>3.1</v>
      </c>
      <c r="AA1141" s="1186">
        <v>15.5</v>
      </c>
      <c r="AB1141" s="1186">
        <v>5.6</v>
      </c>
      <c r="AC1141" s="1186">
        <v>14.8</v>
      </c>
      <c r="AD1141" s="1187"/>
    </row>
    <row r="1142" spans="1:30" x14ac:dyDescent="0.2">
      <c r="A1142">
        <f t="shared" si="51"/>
        <v>29</v>
      </c>
      <c r="B1142">
        <v>1133</v>
      </c>
      <c r="C1142" s="1078">
        <v>3</v>
      </c>
      <c r="D1142" s="1077" t="s">
        <v>3340</v>
      </c>
      <c r="E1142" s="1077" t="s">
        <v>4235</v>
      </c>
      <c r="F1142" s="1185">
        <v>1</v>
      </c>
      <c r="G1142" s="1186"/>
      <c r="H1142" s="1186"/>
      <c r="I1142" s="1186"/>
      <c r="J1142" s="1186"/>
      <c r="K1142" s="1186"/>
      <c r="L1142" s="1186"/>
      <c r="M1142" s="1186"/>
      <c r="N1142" s="1186"/>
      <c r="O1142" s="1186"/>
      <c r="P1142" s="1186"/>
      <c r="Q1142" s="1186"/>
      <c r="R1142" s="1186"/>
      <c r="S1142" s="1186"/>
      <c r="T1142" s="1186"/>
      <c r="U1142" s="1186"/>
      <c r="V1142" s="1186"/>
      <c r="W1142" s="1186">
        <v>11.8</v>
      </c>
      <c r="X1142" s="1186">
        <v>4.5999999999999996</v>
      </c>
      <c r="Y1142" s="1186">
        <v>10.9</v>
      </c>
      <c r="Z1142" s="1186">
        <v>3.1</v>
      </c>
      <c r="AA1142" s="1186">
        <v>15.5</v>
      </c>
      <c r="AB1142" s="1186">
        <v>5.6</v>
      </c>
      <c r="AC1142" s="1186">
        <v>14.8</v>
      </c>
      <c r="AD1142" s="1187"/>
    </row>
    <row r="1143" spans="1:30" x14ac:dyDescent="0.2">
      <c r="A1143">
        <f t="shared" si="51"/>
        <v>29</v>
      </c>
      <c r="B1143">
        <v>1134</v>
      </c>
      <c r="C1143" s="1078">
        <v>3</v>
      </c>
      <c r="D1143" s="1077" t="s">
        <v>3340</v>
      </c>
      <c r="E1143" s="1077" t="s">
        <v>4236</v>
      </c>
      <c r="F1143" s="1185">
        <v>1</v>
      </c>
      <c r="G1143" s="1186"/>
      <c r="H1143" s="1186"/>
      <c r="I1143" s="1186"/>
      <c r="J1143" s="1186"/>
      <c r="K1143" s="1186"/>
      <c r="L1143" s="1186"/>
      <c r="M1143" s="1186"/>
      <c r="N1143" s="1186"/>
      <c r="O1143" s="1186"/>
      <c r="P1143" s="1186"/>
      <c r="Q1143" s="1186"/>
      <c r="R1143" s="1186"/>
      <c r="S1143" s="1186"/>
      <c r="T1143" s="1186"/>
      <c r="U1143" s="1186"/>
      <c r="V1143" s="1186"/>
      <c r="W1143" s="1186">
        <v>15.7</v>
      </c>
      <c r="X1143" s="1186">
        <v>4.3</v>
      </c>
      <c r="Y1143" s="1186">
        <v>14.6</v>
      </c>
      <c r="Z1143" s="1186">
        <v>3</v>
      </c>
      <c r="AA1143" s="1186">
        <v>20.100000000000001</v>
      </c>
      <c r="AB1143" s="1186">
        <v>5.5</v>
      </c>
      <c r="AC1143" s="1186">
        <v>19.399999999999999</v>
      </c>
      <c r="AD1143" s="1187"/>
    </row>
    <row r="1144" spans="1:30" x14ac:dyDescent="0.2">
      <c r="A1144">
        <f t="shared" si="51"/>
        <v>29</v>
      </c>
      <c r="B1144">
        <v>1135</v>
      </c>
      <c r="C1144" s="1078">
        <v>3</v>
      </c>
      <c r="D1144" s="1077" t="s">
        <v>3340</v>
      </c>
      <c r="E1144" s="1077" t="s">
        <v>4237</v>
      </c>
      <c r="F1144" s="1185">
        <v>1</v>
      </c>
      <c r="G1144" s="1186"/>
      <c r="H1144" s="1186"/>
      <c r="I1144" s="1186"/>
      <c r="J1144" s="1186"/>
      <c r="K1144" s="1186"/>
      <c r="L1144" s="1186"/>
      <c r="M1144" s="1186"/>
      <c r="N1144" s="1186"/>
      <c r="O1144" s="1186"/>
      <c r="P1144" s="1186"/>
      <c r="Q1144" s="1186"/>
      <c r="R1144" s="1186"/>
      <c r="S1144" s="1186"/>
      <c r="T1144" s="1186"/>
      <c r="U1144" s="1186"/>
      <c r="V1144" s="1186"/>
      <c r="W1144" s="1186">
        <v>16.899999999999999</v>
      </c>
      <c r="X1144" s="1186">
        <v>4.3</v>
      </c>
      <c r="Y1144" s="1186">
        <v>16.3</v>
      </c>
      <c r="Z1144" s="1186">
        <v>3.2</v>
      </c>
      <c r="AA1144" s="1186">
        <v>21.9</v>
      </c>
      <c r="AB1144" s="1186">
        <v>4.5</v>
      </c>
      <c r="AC1144" s="1186">
        <v>20.8</v>
      </c>
      <c r="AD1144" s="1187"/>
    </row>
    <row r="1145" spans="1:30" x14ac:dyDescent="0.2">
      <c r="A1145">
        <f t="shared" si="51"/>
        <v>30</v>
      </c>
      <c r="B1145">
        <v>1136</v>
      </c>
      <c r="C1145" s="1078">
        <v>2</v>
      </c>
      <c r="D1145" s="1077" t="s">
        <v>5336</v>
      </c>
      <c r="E1145" s="1077" t="s">
        <v>5337</v>
      </c>
      <c r="F1145" s="1185">
        <v>4</v>
      </c>
      <c r="G1145" s="1186">
        <v>5.5</v>
      </c>
      <c r="H1145" s="1186">
        <v>2.5</v>
      </c>
      <c r="I1145" s="1186">
        <v>5.5</v>
      </c>
      <c r="J1145" s="1186">
        <v>3.2</v>
      </c>
      <c r="K1145" s="1186">
        <v>5.5</v>
      </c>
      <c r="L1145" s="1186">
        <v>4.2</v>
      </c>
      <c r="M1145" s="1186">
        <v>5.5</v>
      </c>
      <c r="N1145" s="1186">
        <v>4.7</v>
      </c>
      <c r="O1145" s="1186">
        <v>5.5</v>
      </c>
      <c r="P1145" s="1186">
        <v>6.43</v>
      </c>
      <c r="Q1145" s="1186">
        <v>5.5</v>
      </c>
      <c r="R1145" s="1186">
        <v>2.23</v>
      </c>
      <c r="S1145" s="1186">
        <v>5.5</v>
      </c>
      <c r="T1145" s="1186">
        <v>3.36</v>
      </c>
      <c r="U1145" s="1186">
        <v>5.5</v>
      </c>
      <c r="V1145" s="1186">
        <v>4.25</v>
      </c>
      <c r="W1145" s="1186"/>
      <c r="X1145" s="1186"/>
      <c r="Y1145" s="1186"/>
      <c r="Z1145" s="1186"/>
      <c r="AA1145" s="1186"/>
      <c r="AB1145" s="1186"/>
      <c r="AC1145" s="1186"/>
      <c r="AD1145" s="1187"/>
    </row>
    <row r="1146" spans="1:30" x14ac:dyDescent="0.2">
      <c r="A1146">
        <f t="shared" si="51"/>
        <v>30</v>
      </c>
      <c r="B1146">
        <v>1137</v>
      </c>
      <c r="C1146" s="1078">
        <v>2</v>
      </c>
      <c r="D1146" s="1077" t="s">
        <v>5336</v>
      </c>
      <c r="E1146" s="1077" t="s">
        <v>5338</v>
      </c>
      <c r="F1146" s="1185">
        <v>4</v>
      </c>
      <c r="G1146" s="1186">
        <v>7</v>
      </c>
      <c r="H1146" s="1186">
        <v>2.4500000000000002</v>
      </c>
      <c r="I1146" s="1186">
        <v>7</v>
      </c>
      <c r="J1146" s="1186">
        <v>3.15</v>
      </c>
      <c r="K1146" s="1186">
        <v>7</v>
      </c>
      <c r="L1146" s="1186">
        <v>4.1900000000000004</v>
      </c>
      <c r="M1146" s="1186">
        <v>7</v>
      </c>
      <c r="N1146" s="1186">
        <v>4.7</v>
      </c>
      <c r="O1146" s="1186">
        <v>7</v>
      </c>
      <c r="P1146" s="1186">
        <v>6.39</v>
      </c>
      <c r="Q1146" s="1186">
        <v>7</v>
      </c>
      <c r="R1146" s="1186">
        <v>2.19</v>
      </c>
      <c r="S1146" s="1186">
        <v>7</v>
      </c>
      <c r="T1146" s="1186">
        <v>3.32</v>
      </c>
      <c r="U1146" s="1186">
        <v>7</v>
      </c>
      <c r="V1146" s="1186">
        <v>4.21</v>
      </c>
      <c r="W1146" s="1186"/>
      <c r="X1146" s="1186"/>
      <c r="Y1146" s="1186"/>
      <c r="Z1146" s="1186"/>
      <c r="AA1146" s="1186"/>
      <c r="AB1146" s="1186"/>
      <c r="AC1146" s="1186"/>
      <c r="AD1146" s="1187"/>
    </row>
    <row r="1147" spans="1:30" x14ac:dyDescent="0.2">
      <c r="A1147">
        <f t="shared" si="51"/>
        <v>30</v>
      </c>
      <c r="B1147">
        <v>1138</v>
      </c>
      <c r="C1147" s="1078">
        <v>2</v>
      </c>
      <c r="D1147" s="1077" t="s">
        <v>5336</v>
      </c>
      <c r="E1147" s="1077" t="s">
        <v>5339</v>
      </c>
      <c r="F1147" s="1185">
        <v>4</v>
      </c>
      <c r="G1147" s="1186">
        <v>9</v>
      </c>
      <c r="H1147" s="1186">
        <v>2.4</v>
      </c>
      <c r="I1147" s="1186">
        <v>9</v>
      </c>
      <c r="J1147" s="1186">
        <v>3.1</v>
      </c>
      <c r="K1147" s="1186">
        <v>9</v>
      </c>
      <c r="L1147" s="1186">
        <v>4.0999999999999996</v>
      </c>
      <c r="M1147" s="1186">
        <v>9</v>
      </c>
      <c r="N1147" s="1186">
        <v>4.5999999999999996</v>
      </c>
      <c r="O1147" s="1186">
        <v>9</v>
      </c>
      <c r="P1147" s="1186">
        <v>6.27</v>
      </c>
      <c r="Q1147" s="1186">
        <v>9</v>
      </c>
      <c r="R1147" s="1186">
        <v>2.17</v>
      </c>
      <c r="S1147" s="1186">
        <v>9</v>
      </c>
      <c r="T1147" s="1186">
        <v>3.26</v>
      </c>
      <c r="U1147" s="1186">
        <v>9</v>
      </c>
      <c r="V1147" s="1186">
        <v>4.12</v>
      </c>
      <c r="W1147" s="1186"/>
      <c r="X1147" s="1186"/>
      <c r="Y1147" s="1186"/>
      <c r="Z1147" s="1186"/>
      <c r="AA1147" s="1186"/>
      <c r="AB1147" s="1186"/>
      <c r="AC1147" s="1186"/>
      <c r="AD1147" s="1187"/>
    </row>
    <row r="1148" spans="1:30" x14ac:dyDescent="0.2">
      <c r="A1148">
        <f t="shared" si="51"/>
        <v>30</v>
      </c>
      <c r="B1148">
        <v>1139</v>
      </c>
      <c r="C1148" s="1078">
        <v>2</v>
      </c>
      <c r="D1148" s="1077" t="s">
        <v>5336</v>
      </c>
      <c r="E1148" s="1077" t="s">
        <v>5340</v>
      </c>
      <c r="F1148" s="1185">
        <v>4</v>
      </c>
      <c r="G1148" s="1186">
        <v>9</v>
      </c>
      <c r="H1148" s="1186">
        <v>2.4</v>
      </c>
      <c r="I1148" s="1186">
        <v>9</v>
      </c>
      <c r="J1148" s="1186">
        <v>3.1</v>
      </c>
      <c r="K1148" s="1186">
        <v>9</v>
      </c>
      <c r="L1148" s="1186">
        <v>4.0999999999999996</v>
      </c>
      <c r="M1148" s="1186">
        <v>9</v>
      </c>
      <c r="N1148" s="1186">
        <v>4.5999999999999996</v>
      </c>
      <c r="O1148" s="1186">
        <v>9</v>
      </c>
      <c r="P1148" s="1186">
        <v>6.27</v>
      </c>
      <c r="Q1148" s="1186">
        <v>9</v>
      </c>
      <c r="R1148" s="1186">
        <v>2.17</v>
      </c>
      <c r="S1148" s="1186">
        <v>9</v>
      </c>
      <c r="T1148" s="1186">
        <v>3.26</v>
      </c>
      <c r="U1148" s="1186">
        <v>9</v>
      </c>
      <c r="V1148" s="1186">
        <v>4.12</v>
      </c>
      <c r="W1148" s="1186"/>
      <c r="X1148" s="1186"/>
      <c r="Y1148" s="1186"/>
      <c r="Z1148" s="1186"/>
      <c r="AA1148" s="1186"/>
      <c r="AB1148" s="1186"/>
      <c r="AC1148" s="1186"/>
      <c r="AD1148" s="1187"/>
    </row>
    <row r="1149" spans="1:30" x14ac:dyDescent="0.2">
      <c r="A1149">
        <f t="shared" si="51"/>
        <v>30</v>
      </c>
      <c r="B1149">
        <v>1140</v>
      </c>
      <c r="C1149" s="1078">
        <v>2</v>
      </c>
      <c r="D1149" s="1077" t="s">
        <v>5336</v>
      </c>
      <c r="E1149" s="1077" t="s">
        <v>5341</v>
      </c>
      <c r="F1149" s="1185">
        <v>4</v>
      </c>
      <c r="G1149" s="1186">
        <v>12</v>
      </c>
      <c r="H1149" s="1186">
        <v>2.5499999999999998</v>
      </c>
      <c r="I1149" s="1186">
        <v>12</v>
      </c>
      <c r="J1149" s="1186">
        <v>3.4</v>
      </c>
      <c r="K1149" s="1186">
        <v>12</v>
      </c>
      <c r="L1149" s="1186">
        <v>4.1900000000000004</v>
      </c>
      <c r="M1149" s="1186">
        <v>12</v>
      </c>
      <c r="N1149" s="1186">
        <v>4.9000000000000004</v>
      </c>
      <c r="O1149" s="1186">
        <v>12</v>
      </c>
      <c r="P1149" s="1186">
        <v>6.5</v>
      </c>
      <c r="Q1149" s="1186">
        <v>12</v>
      </c>
      <c r="R1149" s="1186">
        <v>2.5299999999999998</v>
      </c>
      <c r="S1149" s="1186">
        <v>12</v>
      </c>
      <c r="T1149" s="1186">
        <v>3.47</v>
      </c>
      <c r="U1149" s="1186">
        <v>12</v>
      </c>
      <c r="V1149" s="1186">
        <v>4.34</v>
      </c>
      <c r="W1149" s="1186"/>
      <c r="X1149" s="1186"/>
      <c r="Y1149" s="1186"/>
      <c r="Z1149" s="1186"/>
      <c r="AA1149" s="1186"/>
      <c r="AB1149" s="1186"/>
      <c r="AC1149" s="1186"/>
      <c r="AD1149" s="1187"/>
    </row>
    <row r="1150" spans="1:30" x14ac:dyDescent="0.2">
      <c r="A1150">
        <f t="shared" si="51"/>
        <v>30</v>
      </c>
      <c r="B1150">
        <v>1141</v>
      </c>
      <c r="C1150" s="1078">
        <v>2</v>
      </c>
      <c r="D1150" s="1077" t="s">
        <v>5336</v>
      </c>
      <c r="E1150" s="1077" t="s">
        <v>5342</v>
      </c>
      <c r="F1150" s="1185">
        <v>4</v>
      </c>
      <c r="G1150" s="1186">
        <v>14</v>
      </c>
      <c r="H1150" s="1186">
        <v>2.5</v>
      </c>
      <c r="I1150" s="1186">
        <v>14</v>
      </c>
      <c r="J1150" s="1186">
        <v>3.34</v>
      </c>
      <c r="K1150" s="1186">
        <v>14</v>
      </c>
      <c r="L1150" s="1186">
        <v>4.28</v>
      </c>
      <c r="M1150" s="1186">
        <v>14</v>
      </c>
      <c r="N1150" s="1186">
        <v>4.8</v>
      </c>
      <c r="O1150" s="1186">
        <v>14</v>
      </c>
      <c r="P1150" s="1186">
        <v>6.38</v>
      </c>
      <c r="Q1150" s="1186">
        <v>14</v>
      </c>
      <c r="R1150" s="1186">
        <v>2.4700000000000002</v>
      </c>
      <c r="S1150" s="1186">
        <v>14</v>
      </c>
      <c r="T1150" s="1186">
        <v>3.4</v>
      </c>
      <c r="U1150" s="1186">
        <v>14</v>
      </c>
      <c r="V1150" s="1186">
        <v>4.26</v>
      </c>
      <c r="W1150" s="1186"/>
      <c r="X1150" s="1186"/>
      <c r="Y1150" s="1186"/>
      <c r="Z1150" s="1186"/>
      <c r="AA1150" s="1186"/>
      <c r="AB1150" s="1186"/>
      <c r="AC1150" s="1186"/>
      <c r="AD1150" s="1187"/>
    </row>
    <row r="1151" spans="1:30" x14ac:dyDescent="0.2">
      <c r="A1151">
        <f t="shared" si="51"/>
        <v>30</v>
      </c>
      <c r="B1151">
        <v>1142</v>
      </c>
      <c r="C1151" s="1078">
        <v>2</v>
      </c>
      <c r="D1151" s="1077" t="s">
        <v>5336</v>
      </c>
      <c r="E1151" s="1077" t="s">
        <v>5343</v>
      </c>
      <c r="F1151" s="1185">
        <v>4</v>
      </c>
      <c r="G1151" s="1186">
        <v>14.4</v>
      </c>
      <c r="H1151" s="1186">
        <v>2.4500000000000002</v>
      </c>
      <c r="I1151" s="1186">
        <v>16</v>
      </c>
      <c r="J1151" s="1186">
        <v>3.27</v>
      </c>
      <c r="K1151" s="1186">
        <v>16</v>
      </c>
      <c r="L1151" s="1186">
        <v>4.1900000000000004</v>
      </c>
      <c r="M1151" s="1186">
        <v>16</v>
      </c>
      <c r="N1151" s="1186">
        <v>4.7</v>
      </c>
      <c r="O1151" s="1186">
        <v>16</v>
      </c>
      <c r="P1151" s="1186">
        <v>6.23</v>
      </c>
      <c r="Q1151" s="1186">
        <v>16</v>
      </c>
      <c r="R1151" s="1186">
        <v>2.41</v>
      </c>
      <c r="S1151" s="1186">
        <v>16</v>
      </c>
      <c r="T1151" s="1186">
        <v>3.31</v>
      </c>
      <c r="U1151" s="1186">
        <v>16</v>
      </c>
      <c r="V1151" s="1186">
        <v>4.18</v>
      </c>
      <c r="W1151" s="1186"/>
      <c r="X1151" s="1186"/>
      <c r="Y1151" s="1186"/>
      <c r="Z1151" s="1186"/>
      <c r="AA1151" s="1186"/>
      <c r="AB1151" s="1186"/>
      <c r="AC1151" s="1186"/>
      <c r="AD1151" s="1187"/>
    </row>
    <row r="1152" spans="1:30" x14ac:dyDescent="0.2">
      <c r="A1152">
        <f t="shared" si="51"/>
        <v>30</v>
      </c>
      <c r="B1152">
        <v>1143</v>
      </c>
      <c r="C1152" s="1078">
        <v>2</v>
      </c>
      <c r="D1152" s="1077" t="s">
        <v>5336</v>
      </c>
      <c r="E1152" s="1077" t="s">
        <v>5344</v>
      </c>
      <c r="F1152" s="1185">
        <v>4</v>
      </c>
      <c r="G1152" s="1186">
        <v>11.5</v>
      </c>
      <c r="H1152" s="1186">
        <v>2.4</v>
      </c>
      <c r="I1152" s="1186">
        <v>12</v>
      </c>
      <c r="J1152" s="1186">
        <v>3</v>
      </c>
      <c r="K1152" s="1186">
        <v>12</v>
      </c>
      <c r="L1152" s="1186">
        <v>3.86</v>
      </c>
      <c r="M1152" s="1186">
        <v>12</v>
      </c>
      <c r="N1152" s="1186">
        <v>5.04</v>
      </c>
      <c r="O1152" s="1186">
        <v>12</v>
      </c>
      <c r="P1152" s="1186">
        <v>6.56</v>
      </c>
      <c r="Q1152" s="1186">
        <v>12</v>
      </c>
      <c r="R1152" s="1186">
        <v>2.4</v>
      </c>
      <c r="S1152" s="1186">
        <v>12</v>
      </c>
      <c r="T1152" s="1186">
        <v>3.1</v>
      </c>
      <c r="U1152" s="1186">
        <v>12</v>
      </c>
      <c r="V1152" s="1186">
        <v>4.38</v>
      </c>
      <c r="W1152" s="1186"/>
      <c r="X1152" s="1186"/>
      <c r="Y1152" s="1186"/>
      <c r="Z1152" s="1186"/>
      <c r="AA1152" s="1186"/>
      <c r="AB1152" s="1186"/>
      <c r="AC1152" s="1186"/>
      <c r="AD1152" s="1187"/>
    </row>
    <row r="1153" spans="1:30" x14ac:dyDescent="0.2">
      <c r="A1153">
        <f t="shared" si="51"/>
        <v>30</v>
      </c>
      <c r="B1153">
        <v>1144</v>
      </c>
      <c r="C1153" s="1078">
        <v>2</v>
      </c>
      <c r="D1153" s="1077" t="s">
        <v>5336</v>
      </c>
      <c r="E1153" s="1077" t="s">
        <v>5345</v>
      </c>
      <c r="F1153" s="1185">
        <v>4</v>
      </c>
      <c r="G1153" s="1186">
        <v>12.9</v>
      </c>
      <c r="H1153" s="1186">
        <v>2.2999999999999998</v>
      </c>
      <c r="I1153" s="1186">
        <v>14</v>
      </c>
      <c r="J1153" s="1186">
        <v>2.95</v>
      </c>
      <c r="K1153" s="1186">
        <v>14</v>
      </c>
      <c r="L1153" s="1186">
        <v>3.72</v>
      </c>
      <c r="M1153" s="1186">
        <v>14</v>
      </c>
      <c r="N1153" s="1186">
        <v>4.8899999999999997</v>
      </c>
      <c r="O1153" s="1186">
        <v>14</v>
      </c>
      <c r="P1153" s="1186">
        <v>6.37</v>
      </c>
      <c r="Q1153" s="1186">
        <v>14</v>
      </c>
      <c r="R1153" s="1186">
        <v>2.2999999999999998</v>
      </c>
      <c r="S1153" s="1186">
        <v>14</v>
      </c>
      <c r="T1153" s="1186">
        <v>3.1</v>
      </c>
      <c r="U1153" s="1186">
        <v>14</v>
      </c>
      <c r="V1153" s="1186">
        <v>4.38</v>
      </c>
      <c r="W1153" s="1186"/>
      <c r="X1153" s="1186"/>
      <c r="Y1153" s="1186"/>
      <c r="Z1153" s="1186"/>
      <c r="AA1153" s="1186"/>
      <c r="AB1153" s="1186"/>
      <c r="AC1153" s="1186"/>
      <c r="AD1153" s="1187"/>
    </row>
    <row r="1154" spans="1:30" x14ac:dyDescent="0.2">
      <c r="A1154">
        <f t="shared" si="51"/>
        <v>30</v>
      </c>
      <c r="B1154">
        <v>1145</v>
      </c>
      <c r="C1154" s="1200">
        <v>2</v>
      </c>
      <c r="D1154" s="1201" t="s">
        <v>5336</v>
      </c>
      <c r="E1154" s="1201" t="s">
        <v>5346</v>
      </c>
      <c r="F1154" s="1185">
        <v>4</v>
      </c>
      <c r="G1154" s="1186">
        <v>14.39</v>
      </c>
      <c r="H1154" s="1186">
        <v>2.2599999999999998</v>
      </c>
      <c r="I1154" s="1186">
        <v>16</v>
      </c>
      <c r="J1154" s="1186">
        <v>2.8</v>
      </c>
      <c r="K1154" s="1186">
        <v>16</v>
      </c>
      <c r="L1154" s="1186">
        <v>3.41</v>
      </c>
      <c r="M1154" s="1186">
        <v>16</v>
      </c>
      <c r="N1154" s="1186">
        <v>4.8</v>
      </c>
      <c r="O1154" s="1186">
        <v>16</v>
      </c>
      <c r="P1154" s="1186">
        <v>6.87</v>
      </c>
      <c r="Q1154" s="1186">
        <v>16</v>
      </c>
      <c r="R1154" s="1186">
        <v>2.15</v>
      </c>
      <c r="S1154" s="1186">
        <v>16</v>
      </c>
      <c r="T1154" s="1186">
        <v>2.96</v>
      </c>
      <c r="U1154" s="1186">
        <v>16</v>
      </c>
      <c r="V1154" s="1186">
        <v>4.17</v>
      </c>
      <c r="W1154" s="1186"/>
      <c r="X1154" s="1186"/>
      <c r="Y1154" s="1186"/>
      <c r="Z1154" s="1186"/>
      <c r="AA1154" s="1186"/>
      <c r="AB1154" s="1186"/>
      <c r="AC1154" s="1186"/>
      <c r="AD1154" s="1187"/>
    </row>
    <row r="1155" spans="1:30" x14ac:dyDescent="0.2">
      <c r="A1155">
        <f t="shared" si="51"/>
        <v>30</v>
      </c>
      <c r="B1155">
        <v>1146</v>
      </c>
      <c r="C1155" s="1200">
        <v>2</v>
      </c>
      <c r="D1155" s="1201" t="s">
        <v>5336</v>
      </c>
      <c r="E1155" s="1201" t="s">
        <v>5556</v>
      </c>
      <c r="F1155" s="1185">
        <v>4</v>
      </c>
      <c r="G1155" s="1186">
        <v>9</v>
      </c>
      <c r="H1155" s="1186">
        <v>2.95</v>
      </c>
      <c r="I1155" s="1186">
        <v>9</v>
      </c>
      <c r="J1155" s="1186">
        <v>3.44</v>
      </c>
      <c r="K1155" s="1186">
        <v>9</v>
      </c>
      <c r="L1155" s="1186">
        <v>3.88</v>
      </c>
      <c r="M1155" s="1186">
        <v>9</v>
      </c>
      <c r="N1155" s="1186">
        <v>4.9000000000000004</v>
      </c>
      <c r="O1155" s="1186">
        <v>9</v>
      </c>
      <c r="P1155" s="1186">
        <v>6.54</v>
      </c>
      <c r="Q1155" s="1186">
        <v>9</v>
      </c>
      <c r="R1155" s="1186">
        <v>2.6</v>
      </c>
      <c r="S1155" s="1186">
        <v>9</v>
      </c>
      <c r="T1155" s="1186">
        <v>3.52</v>
      </c>
      <c r="U1155" s="1186">
        <v>9</v>
      </c>
      <c r="V1155" s="1186">
        <v>4.3600000000000003</v>
      </c>
      <c r="W1155" s="1186"/>
      <c r="X1155" s="1186"/>
      <c r="Y1155" s="1186"/>
      <c r="Z1155" s="1186"/>
      <c r="AA1155" s="1186"/>
      <c r="AB1155" s="1186"/>
      <c r="AC1155" s="1186"/>
      <c r="AD1155" s="1187"/>
    </row>
    <row r="1156" spans="1:30" x14ac:dyDescent="0.2">
      <c r="A1156">
        <f t="shared" si="51"/>
        <v>30</v>
      </c>
      <c r="B1156">
        <v>1147</v>
      </c>
      <c r="C1156" s="1200">
        <v>2</v>
      </c>
      <c r="D1156" s="1201" t="s">
        <v>5336</v>
      </c>
      <c r="E1156" s="1201" t="s">
        <v>5557</v>
      </c>
      <c r="F1156" s="1185">
        <v>4</v>
      </c>
      <c r="G1156" s="1186">
        <v>10.69</v>
      </c>
      <c r="H1156" s="1186">
        <v>2.88</v>
      </c>
      <c r="I1156" s="1186">
        <v>12</v>
      </c>
      <c r="J1156" s="1186">
        <v>3.3</v>
      </c>
      <c r="K1156" s="1186">
        <v>12</v>
      </c>
      <c r="L1156" s="1186">
        <v>3.72</v>
      </c>
      <c r="M1156" s="1186">
        <v>12</v>
      </c>
      <c r="N1156" s="1186">
        <v>4.7</v>
      </c>
      <c r="O1156" s="1186">
        <v>12</v>
      </c>
      <c r="P1156" s="1186">
        <v>6.26</v>
      </c>
      <c r="Q1156" s="1186">
        <v>12</v>
      </c>
      <c r="R1156" s="1186">
        <v>2.48</v>
      </c>
      <c r="S1156" s="1186">
        <v>12</v>
      </c>
      <c r="T1156" s="1186">
        <v>3.37</v>
      </c>
      <c r="U1156" s="1186">
        <v>12</v>
      </c>
      <c r="V1156" s="1186">
        <v>4.17</v>
      </c>
      <c r="W1156" s="1186"/>
      <c r="X1156" s="1186"/>
      <c r="Y1156" s="1186"/>
      <c r="Z1156" s="1186"/>
      <c r="AA1156" s="1186"/>
      <c r="AB1156" s="1186"/>
      <c r="AC1156" s="1186"/>
      <c r="AD1156" s="1187"/>
    </row>
    <row r="1157" spans="1:30" x14ac:dyDescent="0.2">
      <c r="A1157">
        <f t="shared" si="51"/>
        <v>30</v>
      </c>
      <c r="B1157">
        <v>1148</v>
      </c>
      <c r="C1157" s="1200">
        <v>2</v>
      </c>
      <c r="D1157" s="1201" t="s">
        <v>5336</v>
      </c>
      <c r="E1157" s="1201" t="s">
        <v>5558</v>
      </c>
      <c r="F1157" s="1185">
        <v>4</v>
      </c>
      <c r="G1157" s="1186">
        <v>11.99</v>
      </c>
      <c r="H1157" s="1186">
        <v>2.82</v>
      </c>
      <c r="I1157" s="1186">
        <v>14</v>
      </c>
      <c r="J1157" s="1186">
        <v>3.19</v>
      </c>
      <c r="K1157" s="1186">
        <v>14</v>
      </c>
      <c r="L1157" s="1186">
        <v>3.61</v>
      </c>
      <c r="M1157" s="1186">
        <v>14</v>
      </c>
      <c r="N1157" s="1186">
        <v>4.5</v>
      </c>
      <c r="O1157" s="1186">
        <v>14</v>
      </c>
      <c r="P1157" s="1186">
        <v>6.08</v>
      </c>
      <c r="Q1157" s="1186">
        <v>12.58</v>
      </c>
      <c r="R1157" s="1186">
        <v>2.4500000000000002</v>
      </c>
      <c r="S1157" s="1186">
        <v>14</v>
      </c>
      <c r="T1157" s="1186">
        <v>3.27</v>
      </c>
      <c r="U1157" s="1186">
        <v>14</v>
      </c>
      <c r="V1157" s="1186">
        <v>4.05</v>
      </c>
      <c r="W1157" s="1186"/>
      <c r="X1157" s="1186"/>
      <c r="Y1157" s="1186"/>
      <c r="Z1157" s="1186"/>
      <c r="AA1157" s="1186"/>
      <c r="AB1157" s="1186"/>
      <c r="AC1157" s="1186"/>
      <c r="AD1157" s="1187"/>
    </row>
    <row r="1158" spans="1:30" x14ac:dyDescent="0.2">
      <c r="A1158">
        <f t="shared" si="51"/>
        <v>30</v>
      </c>
      <c r="B1158">
        <v>1149</v>
      </c>
      <c r="C1158" s="1200">
        <v>2</v>
      </c>
      <c r="D1158" s="1201" t="s">
        <v>5336</v>
      </c>
      <c r="E1158" s="1201" t="s">
        <v>5559</v>
      </c>
      <c r="F1158" s="1185">
        <v>4</v>
      </c>
      <c r="G1158" s="1186">
        <v>13.28</v>
      </c>
      <c r="H1158" s="1186">
        <v>2.75</v>
      </c>
      <c r="I1158" s="1186">
        <v>16</v>
      </c>
      <c r="J1158" s="1186">
        <v>3.09</v>
      </c>
      <c r="K1158" s="1186">
        <v>16</v>
      </c>
      <c r="L1158" s="1186">
        <v>3.5</v>
      </c>
      <c r="M1158" s="1186">
        <v>16</v>
      </c>
      <c r="N1158" s="1186">
        <v>4.3</v>
      </c>
      <c r="O1158" s="1186">
        <v>16</v>
      </c>
      <c r="P1158" s="1186">
        <v>5.9</v>
      </c>
      <c r="Q1158" s="1186">
        <v>12.58</v>
      </c>
      <c r="R1158" s="1186">
        <v>2.4500000000000002</v>
      </c>
      <c r="S1158" s="1186">
        <v>16</v>
      </c>
      <c r="T1158" s="1186">
        <v>3.17</v>
      </c>
      <c r="U1158" s="1186">
        <v>16</v>
      </c>
      <c r="V1158" s="1186">
        <v>3.93</v>
      </c>
      <c r="W1158" s="1186"/>
      <c r="X1158" s="1186"/>
      <c r="Y1158" s="1186"/>
      <c r="Z1158" s="1186"/>
      <c r="AA1158" s="1186"/>
      <c r="AB1158" s="1186"/>
      <c r="AC1158" s="1186"/>
      <c r="AD1158" s="1187"/>
    </row>
    <row r="1159" spans="1:30" x14ac:dyDescent="0.2">
      <c r="A1159">
        <f t="shared" si="51"/>
        <v>31</v>
      </c>
      <c r="B1159">
        <v>1150</v>
      </c>
      <c r="C1159" s="1200">
        <v>2</v>
      </c>
      <c r="D1159" s="1201" t="s">
        <v>5401</v>
      </c>
      <c r="E1159" s="1201" t="s">
        <v>5402</v>
      </c>
      <c r="F1159" s="1185">
        <v>4</v>
      </c>
      <c r="G1159" s="1186">
        <v>6.9</v>
      </c>
      <c r="H1159" s="1186">
        <v>2.4</v>
      </c>
      <c r="I1159" s="1186">
        <v>8.5</v>
      </c>
      <c r="J1159" s="1186">
        <v>2.8</v>
      </c>
      <c r="K1159" s="1186">
        <v>10.6</v>
      </c>
      <c r="L1159" s="1186">
        <v>3.6</v>
      </c>
      <c r="M1159" s="1186">
        <v>12</v>
      </c>
      <c r="N1159" s="1186">
        <v>4</v>
      </c>
      <c r="O1159" s="1186">
        <v>15.9</v>
      </c>
      <c r="P1159" s="1186">
        <v>5.7</v>
      </c>
      <c r="Q1159" s="1186">
        <v>7.5</v>
      </c>
      <c r="R1159" s="1186">
        <v>1.8</v>
      </c>
      <c r="S1159" s="1186">
        <v>10.7</v>
      </c>
      <c r="T1159" s="1186">
        <v>2.5</v>
      </c>
      <c r="U1159" s="1186">
        <v>14.2</v>
      </c>
      <c r="V1159" s="1186">
        <v>3.3</v>
      </c>
      <c r="W1159" s="1186"/>
      <c r="X1159" s="1186"/>
      <c r="Y1159" s="1186"/>
      <c r="Z1159" s="1186"/>
      <c r="AA1159" s="1186"/>
      <c r="AB1159" s="1186"/>
      <c r="AC1159" s="1186"/>
      <c r="AD1159" s="1187"/>
    </row>
    <row r="1160" spans="1:30" x14ac:dyDescent="0.2">
      <c r="A1160">
        <f t="shared" si="51"/>
        <v>31</v>
      </c>
      <c r="B1160">
        <v>1151</v>
      </c>
      <c r="C1160" s="1200">
        <v>2</v>
      </c>
      <c r="D1160" s="1201" t="s">
        <v>5401</v>
      </c>
      <c r="E1160" s="1201" t="s">
        <v>5403</v>
      </c>
      <c r="F1160" s="1185">
        <v>4</v>
      </c>
      <c r="G1160" s="1186">
        <v>8.3000000000000007</v>
      </c>
      <c r="H1160" s="1186">
        <v>2.2999999999999998</v>
      </c>
      <c r="I1160" s="1186">
        <v>10.7</v>
      </c>
      <c r="J1160" s="1186">
        <v>2.7</v>
      </c>
      <c r="K1160" s="1186">
        <v>12.6</v>
      </c>
      <c r="L1160" s="1186">
        <v>3.4</v>
      </c>
      <c r="M1160" s="1186">
        <v>14.2</v>
      </c>
      <c r="N1160" s="1186">
        <v>3.8</v>
      </c>
      <c r="O1160" s="1186">
        <v>18.600000000000001</v>
      </c>
      <c r="P1160" s="1186">
        <v>5.2</v>
      </c>
      <c r="Q1160" s="1186">
        <v>9</v>
      </c>
      <c r="R1160" s="1186">
        <v>1.7</v>
      </c>
      <c r="S1160" s="1186">
        <v>12.7</v>
      </c>
      <c r="T1160" s="1186">
        <v>2.4</v>
      </c>
      <c r="U1160" s="1186">
        <v>16.8</v>
      </c>
      <c r="V1160" s="1186">
        <v>3.1</v>
      </c>
      <c r="W1160" s="1186"/>
      <c r="X1160" s="1186"/>
      <c r="Y1160" s="1186"/>
      <c r="Z1160" s="1186"/>
      <c r="AA1160" s="1186"/>
      <c r="AB1160" s="1186"/>
      <c r="AC1160" s="1186"/>
      <c r="AD1160" s="1187"/>
    </row>
    <row r="1161" spans="1:30" x14ac:dyDescent="0.2">
      <c r="A1161">
        <f t="shared" si="51"/>
        <v>31</v>
      </c>
      <c r="B1161">
        <v>1152</v>
      </c>
      <c r="C1161" s="1200">
        <v>2</v>
      </c>
      <c r="D1161" s="1201" t="s">
        <v>5401</v>
      </c>
      <c r="E1161" s="1201" t="s">
        <v>5404</v>
      </c>
      <c r="F1161" s="1185">
        <v>4</v>
      </c>
      <c r="G1161" s="1186">
        <v>10.8</v>
      </c>
      <c r="H1161" s="1186">
        <v>2.33</v>
      </c>
      <c r="I1161" s="1186">
        <v>13.2</v>
      </c>
      <c r="J1161" s="1186">
        <v>2.8</v>
      </c>
      <c r="K1161" s="1186">
        <v>16.5</v>
      </c>
      <c r="L1161" s="1186">
        <v>3.5</v>
      </c>
      <c r="M1161" s="1186">
        <v>18.600000000000001</v>
      </c>
      <c r="N1161" s="1186">
        <v>3.96</v>
      </c>
      <c r="O1161" s="1186">
        <v>24.6</v>
      </c>
      <c r="P1161" s="1186">
        <v>5.5</v>
      </c>
      <c r="Q1161" s="1186">
        <v>11.7</v>
      </c>
      <c r="R1161" s="1186">
        <v>1.8</v>
      </c>
      <c r="S1161" s="1186">
        <v>16.7</v>
      </c>
      <c r="T1161" s="1186">
        <v>2.48</v>
      </c>
      <c r="U1161" s="1186">
        <v>22</v>
      </c>
      <c r="V1161" s="1186">
        <v>3.3</v>
      </c>
      <c r="W1161" s="1186"/>
      <c r="X1161" s="1186"/>
      <c r="Y1161" s="1186"/>
      <c r="Z1161" s="1186"/>
      <c r="AA1161" s="1186"/>
      <c r="AB1161" s="1186"/>
      <c r="AC1161" s="1186"/>
      <c r="AD1161" s="1187"/>
    </row>
    <row r="1162" spans="1:30" x14ac:dyDescent="0.2">
      <c r="A1162">
        <f t="shared" si="51"/>
        <v>31</v>
      </c>
      <c r="B1162">
        <v>1153</v>
      </c>
      <c r="C1162" s="1200">
        <v>2</v>
      </c>
      <c r="D1162" s="1201" t="s">
        <v>5401</v>
      </c>
      <c r="E1162" s="1201" t="s">
        <v>5405</v>
      </c>
      <c r="F1162" s="1185">
        <v>4</v>
      </c>
      <c r="G1162" s="1186">
        <v>5.4</v>
      </c>
      <c r="H1162" s="1186">
        <v>2.73</v>
      </c>
      <c r="I1162" s="1186">
        <v>6.53</v>
      </c>
      <c r="J1162" s="1186">
        <v>3.27</v>
      </c>
      <c r="K1162" s="1186">
        <v>7.92</v>
      </c>
      <c r="L1162" s="1186">
        <v>3.96</v>
      </c>
      <c r="M1162" s="1186">
        <v>8.76</v>
      </c>
      <c r="N1162" s="1186">
        <v>4.4000000000000004</v>
      </c>
      <c r="O1162" s="1186">
        <v>11.1</v>
      </c>
      <c r="P1162" s="1186">
        <v>5.75</v>
      </c>
      <c r="Q1162" s="1186">
        <v>6.18</v>
      </c>
      <c r="R1162" s="1186">
        <v>2.29</v>
      </c>
      <c r="S1162" s="1186">
        <v>8.27</v>
      </c>
      <c r="T1162" s="1186">
        <v>2.96</v>
      </c>
      <c r="U1162" s="1186">
        <v>10.49</v>
      </c>
      <c r="V1162" s="1186">
        <v>3.7</v>
      </c>
      <c r="W1162" s="1186"/>
      <c r="X1162" s="1186"/>
      <c r="Y1162" s="1186"/>
      <c r="Z1162" s="1186"/>
      <c r="AA1162" s="1186"/>
      <c r="AB1162" s="1186"/>
      <c r="AC1162" s="1186"/>
      <c r="AD1162" s="1187"/>
    </row>
    <row r="1163" spans="1:30" x14ac:dyDescent="0.2">
      <c r="A1163">
        <f t="shared" si="51"/>
        <v>31</v>
      </c>
      <c r="B1163">
        <v>1154</v>
      </c>
      <c r="C1163" s="1200">
        <v>2</v>
      </c>
      <c r="D1163" s="1201" t="s">
        <v>5401</v>
      </c>
      <c r="E1163" s="1201" t="s">
        <v>5406</v>
      </c>
      <c r="F1163" s="1185">
        <v>4</v>
      </c>
      <c r="G1163" s="1186">
        <v>7.15</v>
      </c>
      <c r="H1163" s="1186">
        <v>2.84</v>
      </c>
      <c r="I1163" s="1186">
        <v>8.98</v>
      </c>
      <c r="J1163" s="1186">
        <v>3.53</v>
      </c>
      <c r="K1163" s="1186">
        <v>11.37</v>
      </c>
      <c r="L1163" s="1186">
        <v>4.54</v>
      </c>
      <c r="M1163" s="1186">
        <v>12.87</v>
      </c>
      <c r="N1163" s="1186">
        <v>5.25</v>
      </c>
      <c r="O1163" s="1186">
        <v>15.52</v>
      </c>
      <c r="P1163" s="1186">
        <v>6.53</v>
      </c>
      <c r="Q1163" s="1186">
        <v>8.14</v>
      </c>
      <c r="R1163" s="1186">
        <v>2.33</v>
      </c>
      <c r="S1163" s="1186">
        <v>11.49</v>
      </c>
      <c r="T1163" s="1186">
        <v>3.18</v>
      </c>
      <c r="U1163" s="1186">
        <v>14.53</v>
      </c>
      <c r="V1163" s="1186">
        <v>4.03</v>
      </c>
      <c r="W1163" s="1186"/>
      <c r="X1163" s="1186"/>
      <c r="Y1163" s="1186"/>
      <c r="Z1163" s="1186"/>
      <c r="AA1163" s="1186"/>
      <c r="AB1163" s="1186"/>
      <c r="AC1163" s="1186"/>
      <c r="AD1163" s="1187"/>
    </row>
    <row r="1164" spans="1:30" x14ac:dyDescent="0.2">
      <c r="A1164">
        <f t="shared" ref="A1164:A1227" si="52">A1163+(D1164&lt;&gt;D1163)*1</f>
        <v>31</v>
      </c>
      <c r="B1164">
        <v>1155</v>
      </c>
      <c r="C1164" s="1078">
        <v>2</v>
      </c>
      <c r="D1164" s="1077" t="s">
        <v>5401</v>
      </c>
      <c r="E1164" s="1077" t="s">
        <v>5407</v>
      </c>
      <c r="F1164" s="1185">
        <v>4</v>
      </c>
      <c r="G1164" s="1186">
        <v>10.84</v>
      </c>
      <c r="H1164" s="1186">
        <v>3.05</v>
      </c>
      <c r="I1164" s="1186">
        <v>13.52</v>
      </c>
      <c r="J1164" s="1186">
        <v>3.81</v>
      </c>
      <c r="K1164" s="1186">
        <v>17</v>
      </c>
      <c r="L1164" s="1186">
        <v>4.8499999999999996</v>
      </c>
      <c r="M1164" s="1186">
        <v>19.170000000000002</v>
      </c>
      <c r="N1164" s="1186">
        <v>5.55</v>
      </c>
      <c r="O1164" s="1186">
        <v>20.3</v>
      </c>
      <c r="P1164" s="1186">
        <v>6.31</v>
      </c>
      <c r="Q1164" s="1186">
        <v>12.58</v>
      </c>
      <c r="R1164" s="1186">
        <v>2.5</v>
      </c>
      <c r="S1164" s="1186">
        <v>17.62</v>
      </c>
      <c r="T1164" s="1186">
        <v>3.51</v>
      </c>
      <c r="U1164" s="1186">
        <v>18.989999999999998</v>
      </c>
      <c r="V1164" s="1186">
        <v>3.97</v>
      </c>
      <c r="W1164" s="1186"/>
      <c r="X1164" s="1186"/>
      <c r="Y1164" s="1186"/>
      <c r="Z1164" s="1186"/>
      <c r="AA1164" s="1186"/>
      <c r="AB1164" s="1186"/>
      <c r="AC1164" s="1186"/>
      <c r="AD1164" s="1187"/>
    </row>
    <row r="1165" spans="1:30" x14ac:dyDescent="0.2">
      <c r="A1165">
        <f t="shared" si="52"/>
        <v>31</v>
      </c>
      <c r="B1165">
        <v>1156</v>
      </c>
      <c r="C1165" s="1078">
        <v>2</v>
      </c>
      <c r="D1165" s="1077" t="s">
        <v>5401</v>
      </c>
      <c r="E1165" s="1077" t="s">
        <v>5408</v>
      </c>
      <c r="F1165" s="1185">
        <v>4</v>
      </c>
      <c r="G1165" s="1186">
        <v>16.989999999999998</v>
      </c>
      <c r="H1165" s="1186">
        <v>2.97</v>
      </c>
      <c r="I1165" s="1186">
        <v>20.3</v>
      </c>
      <c r="J1165" s="1186">
        <v>3.57</v>
      </c>
      <c r="K1165" s="1186">
        <v>24.37</v>
      </c>
      <c r="L1165" s="1186">
        <v>4.32</v>
      </c>
      <c r="M1165" s="1186">
        <v>26.81</v>
      </c>
      <c r="N1165" s="1186">
        <v>4.78</v>
      </c>
      <c r="O1165" s="1186">
        <v>33.75</v>
      </c>
      <c r="P1165" s="1186">
        <v>6.19</v>
      </c>
      <c r="Q1165" s="1186">
        <v>19.97</v>
      </c>
      <c r="R1165" s="1186">
        <v>2.4300000000000002</v>
      </c>
      <c r="S1165" s="1186">
        <v>26.19</v>
      </c>
      <c r="T1165" s="1186">
        <v>3.21</v>
      </c>
      <c r="U1165" s="1186">
        <v>32.81</v>
      </c>
      <c r="V1165" s="1186">
        <v>4.0599999999999996</v>
      </c>
      <c r="W1165" s="1186"/>
      <c r="X1165" s="1186"/>
      <c r="Y1165" s="1186"/>
      <c r="Z1165" s="1186"/>
      <c r="AA1165" s="1186"/>
      <c r="AB1165" s="1186"/>
      <c r="AC1165" s="1186"/>
      <c r="AD1165" s="1187"/>
    </row>
    <row r="1166" spans="1:30" x14ac:dyDescent="0.2">
      <c r="A1166">
        <f t="shared" si="52"/>
        <v>31</v>
      </c>
      <c r="B1166">
        <v>1157</v>
      </c>
      <c r="C1166" s="1078">
        <v>3</v>
      </c>
      <c r="D1166" s="1077" t="s">
        <v>5401</v>
      </c>
      <c r="E1166" s="1077" t="s">
        <v>5409</v>
      </c>
      <c r="F1166" s="1185">
        <v>4</v>
      </c>
      <c r="G1166" s="1186"/>
      <c r="H1166" s="1186"/>
      <c r="I1166" s="1186"/>
      <c r="J1166" s="1186"/>
      <c r="K1166" s="1186"/>
      <c r="L1166" s="1186"/>
      <c r="M1166" s="1186"/>
      <c r="N1166" s="1186"/>
      <c r="O1166" s="1186"/>
      <c r="P1166" s="1186"/>
      <c r="Q1166" s="1186"/>
      <c r="R1166" s="1186"/>
      <c r="S1166" s="1186"/>
      <c r="T1166" s="1186"/>
      <c r="U1166" s="1186"/>
      <c r="V1166" s="1186"/>
      <c r="W1166" s="1186">
        <v>9.9</v>
      </c>
      <c r="X1166" s="1186">
        <v>3.5</v>
      </c>
      <c r="Y1166" s="1186">
        <v>7.7</v>
      </c>
      <c r="Z1166" s="1186">
        <v>2.2999999999999998</v>
      </c>
      <c r="AA1166" s="1186"/>
      <c r="AB1166" s="1186"/>
      <c r="AC1166" s="1186"/>
      <c r="AD1166" s="1187"/>
    </row>
    <row r="1167" spans="1:30" x14ac:dyDescent="0.2">
      <c r="A1167">
        <f t="shared" si="52"/>
        <v>31</v>
      </c>
      <c r="B1167">
        <v>1158</v>
      </c>
      <c r="C1167" s="1078">
        <v>3</v>
      </c>
      <c r="D1167" s="1077" t="s">
        <v>5401</v>
      </c>
      <c r="E1167" s="1077" t="s">
        <v>5410</v>
      </c>
      <c r="F1167" s="1185">
        <v>4</v>
      </c>
      <c r="G1167" s="1186"/>
      <c r="H1167" s="1186"/>
      <c r="I1167" s="1186"/>
      <c r="J1167" s="1186"/>
      <c r="K1167" s="1186"/>
      <c r="L1167" s="1186"/>
      <c r="M1167" s="1186"/>
      <c r="N1167" s="1186"/>
      <c r="O1167" s="1186"/>
      <c r="P1167" s="1186"/>
      <c r="Q1167" s="1186"/>
      <c r="R1167" s="1186"/>
      <c r="S1167" s="1186"/>
      <c r="T1167" s="1186"/>
      <c r="U1167" s="1186"/>
      <c r="V1167" s="1186"/>
      <c r="W1167" s="1186">
        <v>18.2</v>
      </c>
      <c r="X1167" s="1186">
        <v>3.5</v>
      </c>
      <c r="Y1167" s="1186">
        <v>11.4</v>
      </c>
      <c r="Z1167" s="1186">
        <v>2.5</v>
      </c>
      <c r="AA1167" s="1186"/>
      <c r="AB1167" s="1186"/>
      <c r="AC1167" s="1186"/>
      <c r="AD1167" s="1187"/>
    </row>
    <row r="1168" spans="1:30" x14ac:dyDescent="0.2">
      <c r="A1168">
        <f t="shared" si="52"/>
        <v>32</v>
      </c>
      <c r="B1168">
        <v>1159</v>
      </c>
      <c r="C1168" s="1078">
        <v>2</v>
      </c>
      <c r="D1168" s="1077" t="s">
        <v>4530</v>
      </c>
      <c r="E1168" s="1077" t="s">
        <v>5109</v>
      </c>
      <c r="F1168" s="1185">
        <v>4</v>
      </c>
      <c r="G1168" s="1186">
        <v>8.7200000000000006</v>
      </c>
      <c r="H1168" s="1186">
        <v>2.38</v>
      </c>
      <c r="I1168" s="1186">
        <v>10.73</v>
      </c>
      <c r="J1168" s="1186">
        <v>2.74</v>
      </c>
      <c r="K1168" s="1186">
        <v>11.79</v>
      </c>
      <c r="L1168" s="1186">
        <v>3.04</v>
      </c>
      <c r="M1168" s="1186">
        <v>16.89</v>
      </c>
      <c r="N1168" s="1186">
        <v>3.59</v>
      </c>
      <c r="O1168" s="1186">
        <v>19.170000000000002</v>
      </c>
      <c r="P1168" s="1186">
        <v>4.0599999999999996</v>
      </c>
      <c r="Q1168" s="1186">
        <v>9.3800000000000008</v>
      </c>
      <c r="R1168" s="1186">
        <v>2</v>
      </c>
      <c r="S1168" s="1186">
        <v>14.77</v>
      </c>
      <c r="T1168" s="1186">
        <v>2.63</v>
      </c>
      <c r="U1168" s="1186">
        <v>16.77</v>
      </c>
      <c r="V1168" s="1186">
        <v>2.97</v>
      </c>
      <c r="W1168" s="1186"/>
      <c r="X1168" s="1186"/>
      <c r="Y1168" s="1186"/>
      <c r="Z1168" s="1186"/>
      <c r="AA1168" s="1186"/>
      <c r="AB1168" s="1186"/>
      <c r="AC1168" s="1186"/>
      <c r="AD1168" s="1187"/>
    </row>
    <row r="1169" spans="1:30" x14ac:dyDescent="0.2">
      <c r="A1169">
        <f t="shared" si="52"/>
        <v>32</v>
      </c>
      <c r="B1169">
        <v>1160</v>
      </c>
      <c r="C1169" s="1078">
        <v>2</v>
      </c>
      <c r="D1169" s="1077" t="s">
        <v>4530</v>
      </c>
      <c r="E1169" s="1077" t="s">
        <v>5110</v>
      </c>
      <c r="F1169" s="1185">
        <v>4</v>
      </c>
      <c r="G1169" s="1186">
        <v>8.7200000000000006</v>
      </c>
      <c r="H1169" s="1186">
        <v>2.38</v>
      </c>
      <c r="I1169" s="1186">
        <v>10.73</v>
      </c>
      <c r="J1169" s="1186">
        <v>2.74</v>
      </c>
      <c r="K1169" s="1186">
        <v>11.79</v>
      </c>
      <c r="L1169" s="1186">
        <v>3.04</v>
      </c>
      <c r="M1169" s="1186">
        <v>16.89</v>
      </c>
      <c r="N1169" s="1186">
        <v>3.59</v>
      </c>
      <c r="O1169" s="1186">
        <v>19.170000000000002</v>
      </c>
      <c r="P1169" s="1186">
        <v>4.0599999999999996</v>
      </c>
      <c r="Q1169" s="1186">
        <v>9.3800000000000008</v>
      </c>
      <c r="R1169" s="1186">
        <v>2</v>
      </c>
      <c r="S1169" s="1186">
        <v>14.77</v>
      </c>
      <c r="T1169" s="1186">
        <v>2.63</v>
      </c>
      <c r="U1169" s="1186">
        <v>16.77</v>
      </c>
      <c r="V1169" s="1186">
        <v>2.97</v>
      </c>
      <c r="W1169" s="1186"/>
      <c r="X1169" s="1186"/>
      <c r="Y1169" s="1186"/>
      <c r="Z1169" s="1186"/>
      <c r="AA1169" s="1186"/>
      <c r="AB1169" s="1186"/>
      <c r="AC1169" s="1186"/>
      <c r="AD1169" s="1187"/>
    </row>
    <row r="1170" spans="1:30" x14ac:dyDescent="0.2">
      <c r="A1170">
        <f t="shared" si="52"/>
        <v>32</v>
      </c>
      <c r="B1170">
        <v>1161</v>
      </c>
      <c r="C1170" s="1078">
        <v>2</v>
      </c>
      <c r="D1170" s="1077" t="s">
        <v>4530</v>
      </c>
      <c r="E1170" s="1077" t="s">
        <v>5111</v>
      </c>
      <c r="F1170" s="1185">
        <v>4</v>
      </c>
      <c r="G1170" s="1186">
        <v>10.63</v>
      </c>
      <c r="H1170" s="1186">
        <v>2.2999999999999998</v>
      </c>
      <c r="I1170" s="1186">
        <v>13.02</v>
      </c>
      <c r="J1170" s="1186">
        <v>2.5499999999999998</v>
      </c>
      <c r="K1170" s="1186">
        <v>14.59</v>
      </c>
      <c r="L1170" s="1186">
        <v>2.85</v>
      </c>
      <c r="M1170" s="1186">
        <v>19.850000000000001</v>
      </c>
      <c r="N1170" s="1186">
        <v>3.4</v>
      </c>
      <c r="O1170" s="1186">
        <v>22.36</v>
      </c>
      <c r="P1170" s="1186">
        <v>4.28</v>
      </c>
      <c r="Q1170" s="1186">
        <v>10.45</v>
      </c>
      <c r="R1170" s="1186">
        <v>1.92</v>
      </c>
      <c r="S1170" s="1186">
        <v>15.93</v>
      </c>
      <c r="T1170" s="1186">
        <v>2.5499999999999998</v>
      </c>
      <c r="U1170" s="1186">
        <v>17.93</v>
      </c>
      <c r="V1170" s="1186">
        <v>3.22</v>
      </c>
      <c r="W1170" s="1186"/>
      <c r="X1170" s="1186"/>
      <c r="Y1170" s="1186"/>
      <c r="Z1170" s="1186"/>
      <c r="AA1170" s="1186"/>
      <c r="AB1170" s="1186"/>
      <c r="AC1170" s="1186"/>
      <c r="AD1170" s="1187"/>
    </row>
    <row r="1171" spans="1:30" x14ac:dyDescent="0.2">
      <c r="A1171">
        <f t="shared" si="52"/>
        <v>32</v>
      </c>
      <c r="B1171">
        <v>1162</v>
      </c>
      <c r="C1171" s="1078">
        <v>2</v>
      </c>
      <c r="D1171" s="1077" t="s">
        <v>4530</v>
      </c>
      <c r="E1171" s="1077" t="s">
        <v>5112</v>
      </c>
      <c r="F1171" s="1185">
        <v>4</v>
      </c>
      <c r="G1171" s="1186">
        <v>10.63</v>
      </c>
      <c r="H1171" s="1186">
        <v>2.2999999999999998</v>
      </c>
      <c r="I1171" s="1186">
        <v>13.02</v>
      </c>
      <c r="J1171" s="1186">
        <v>2.5499999999999998</v>
      </c>
      <c r="K1171" s="1186">
        <v>14.59</v>
      </c>
      <c r="L1171" s="1186">
        <v>2.85</v>
      </c>
      <c r="M1171" s="1186">
        <v>19.850000000000001</v>
      </c>
      <c r="N1171" s="1186">
        <v>3.4</v>
      </c>
      <c r="O1171" s="1186">
        <v>22.36</v>
      </c>
      <c r="P1171" s="1186">
        <v>4.28</v>
      </c>
      <c r="Q1171" s="1186">
        <v>10.45</v>
      </c>
      <c r="R1171" s="1186">
        <v>1.92</v>
      </c>
      <c r="S1171" s="1186">
        <v>15.93</v>
      </c>
      <c r="T1171" s="1186">
        <v>2.5499999999999998</v>
      </c>
      <c r="U1171" s="1186">
        <v>17.93</v>
      </c>
      <c r="V1171" s="1186">
        <v>3.22</v>
      </c>
      <c r="W1171" s="1186"/>
      <c r="X1171" s="1186"/>
      <c r="Y1171" s="1186"/>
      <c r="Z1171" s="1186"/>
      <c r="AA1171" s="1186"/>
      <c r="AB1171" s="1186"/>
      <c r="AC1171" s="1186"/>
      <c r="AD1171" s="1187"/>
    </row>
    <row r="1172" spans="1:30" x14ac:dyDescent="0.2">
      <c r="A1172">
        <f t="shared" si="52"/>
        <v>32</v>
      </c>
      <c r="B1172">
        <v>1163</v>
      </c>
      <c r="C1172" s="1078">
        <v>2</v>
      </c>
      <c r="D1172" s="1077" t="s">
        <v>4530</v>
      </c>
      <c r="E1172" s="1077" t="s">
        <v>5113</v>
      </c>
      <c r="F1172" s="1185">
        <v>4</v>
      </c>
      <c r="G1172" s="1186">
        <v>4.75</v>
      </c>
      <c r="H1172" s="1186">
        <v>2.46</v>
      </c>
      <c r="I1172" s="1186">
        <v>5.93</v>
      </c>
      <c r="J1172" s="1186">
        <v>2.79</v>
      </c>
      <c r="K1172" s="1186">
        <v>6.26</v>
      </c>
      <c r="L1172" s="1186">
        <v>3.06</v>
      </c>
      <c r="M1172" s="1186">
        <v>8.36</v>
      </c>
      <c r="N1172" s="1186">
        <v>3.41</v>
      </c>
      <c r="O1172" s="1186">
        <v>9.74</v>
      </c>
      <c r="P1172" s="1186">
        <v>3.77</v>
      </c>
      <c r="Q1172" s="1186">
        <v>5.3</v>
      </c>
      <c r="R1172" s="1186">
        <v>1.94</v>
      </c>
      <c r="S1172" s="1186">
        <v>7.47</v>
      </c>
      <c r="T1172" s="1186">
        <v>2.38</v>
      </c>
      <c r="U1172" s="1186">
        <v>8.4</v>
      </c>
      <c r="V1172" s="1186">
        <v>2.63</v>
      </c>
      <c r="W1172" s="1186"/>
      <c r="X1172" s="1186"/>
      <c r="Y1172" s="1186"/>
      <c r="Z1172" s="1186"/>
      <c r="AA1172" s="1186"/>
      <c r="AB1172" s="1186"/>
      <c r="AC1172" s="1186"/>
      <c r="AD1172" s="1187"/>
    </row>
    <row r="1173" spans="1:30" x14ac:dyDescent="0.2">
      <c r="A1173">
        <f t="shared" si="52"/>
        <v>32</v>
      </c>
      <c r="B1173">
        <v>1164</v>
      </c>
      <c r="C1173" s="1078">
        <v>2</v>
      </c>
      <c r="D1173" s="1077" t="s">
        <v>4530</v>
      </c>
      <c r="E1173" s="1077" t="s">
        <v>5114</v>
      </c>
      <c r="F1173" s="1185">
        <v>4</v>
      </c>
      <c r="G1173" s="1186">
        <v>4.75</v>
      </c>
      <c r="H1173" s="1186">
        <v>2.46</v>
      </c>
      <c r="I1173" s="1186">
        <v>5.93</v>
      </c>
      <c r="J1173" s="1186">
        <v>2.79</v>
      </c>
      <c r="K1173" s="1186">
        <v>6.26</v>
      </c>
      <c r="L1173" s="1186">
        <v>3.06</v>
      </c>
      <c r="M1173" s="1186">
        <v>8.36</v>
      </c>
      <c r="N1173" s="1186">
        <v>3.41</v>
      </c>
      <c r="O1173" s="1186">
        <v>9.74</v>
      </c>
      <c r="P1173" s="1186">
        <v>3.77</v>
      </c>
      <c r="Q1173" s="1186">
        <v>5.3</v>
      </c>
      <c r="R1173" s="1186">
        <v>1.94</v>
      </c>
      <c r="S1173" s="1186">
        <v>7.47</v>
      </c>
      <c r="T1173" s="1186">
        <v>2.38</v>
      </c>
      <c r="U1173" s="1186">
        <v>8.4</v>
      </c>
      <c r="V1173" s="1186">
        <v>2.63</v>
      </c>
      <c r="W1173" s="1186"/>
      <c r="X1173" s="1186"/>
      <c r="Y1173" s="1186"/>
      <c r="Z1173" s="1186"/>
      <c r="AA1173" s="1186"/>
      <c r="AB1173" s="1186"/>
      <c r="AC1173" s="1186"/>
      <c r="AD1173" s="1187"/>
    </row>
    <row r="1174" spans="1:30" x14ac:dyDescent="0.2">
      <c r="A1174">
        <f t="shared" si="52"/>
        <v>32</v>
      </c>
      <c r="B1174">
        <v>1165</v>
      </c>
      <c r="C1174" s="1078">
        <v>2</v>
      </c>
      <c r="D1174" s="1077" t="s">
        <v>4530</v>
      </c>
      <c r="E1174" s="1077" t="s">
        <v>5115</v>
      </c>
      <c r="F1174" s="1185">
        <v>4</v>
      </c>
      <c r="G1174" s="1186">
        <v>6.74</v>
      </c>
      <c r="H1174" s="1186">
        <v>2.52</v>
      </c>
      <c r="I1174" s="1186">
        <v>8.25</v>
      </c>
      <c r="J1174" s="1186">
        <v>2.79</v>
      </c>
      <c r="K1174" s="1186">
        <v>8.9499999999999993</v>
      </c>
      <c r="L1174" s="1186">
        <v>2.96</v>
      </c>
      <c r="M1174" s="1186">
        <v>10.84</v>
      </c>
      <c r="N1174" s="1186">
        <v>3.21</v>
      </c>
      <c r="O1174" s="1186">
        <v>12.12</v>
      </c>
      <c r="P1174" s="1186">
        <v>3.46</v>
      </c>
      <c r="Q1174" s="1186">
        <v>6.9</v>
      </c>
      <c r="R1174" s="1186">
        <v>2.09</v>
      </c>
      <c r="S1174" s="1186">
        <v>8.41</v>
      </c>
      <c r="T1174" s="1186">
        <v>2.4</v>
      </c>
      <c r="U1174" s="1186">
        <v>9.08</v>
      </c>
      <c r="V1174" s="1186">
        <v>2.59</v>
      </c>
      <c r="W1174" s="1186"/>
      <c r="X1174" s="1186"/>
      <c r="Y1174" s="1186"/>
      <c r="Z1174" s="1186"/>
      <c r="AA1174" s="1186"/>
      <c r="AB1174" s="1186"/>
      <c r="AC1174" s="1186"/>
      <c r="AD1174" s="1187"/>
    </row>
    <row r="1175" spans="1:30" x14ac:dyDescent="0.2">
      <c r="A1175">
        <f t="shared" si="52"/>
        <v>32</v>
      </c>
      <c r="B1175">
        <v>1166</v>
      </c>
      <c r="C1175" s="1078">
        <v>2</v>
      </c>
      <c r="D1175" s="1077" t="s">
        <v>4530</v>
      </c>
      <c r="E1175" s="1077" t="s">
        <v>5116</v>
      </c>
      <c r="F1175" s="1185">
        <v>4</v>
      </c>
      <c r="G1175" s="1186">
        <v>6.74</v>
      </c>
      <c r="H1175" s="1186">
        <v>2.52</v>
      </c>
      <c r="I1175" s="1186">
        <v>8.25</v>
      </c>
      <c r="J1175" s="1186">
        <v>2.79</v>
      </c>
      <c r="K1175" s="1186">
        <v>8.9499999999999993</v>
      </c>
      <c r="L1175" s="1186">
        <v>2.96</v>
      </c>
      <c r="M1175" s="1186">
        <v>10.84</v>
      </c>
      <c r="N1175" s="1186">
        <v>3.21</v>
      </c>
      <c r="O1175" s="1186">
        <v>12.12</v>
      </c>
      <c r="P1175" s="1186">
        <v>3.46</v>
      </c>
      <c r="Q1175" s="1186">
        <v>6.9</v>
      </c>
      <c r="R1175" s="1186">
        <v>2.09</v>
      </c>
      <c r="S1175" s="1186">
        <v>8.41</v>
      </c>
      <c r="T1175" s="1186">
        <v>2.4</v>
      </c>
      <c r="U1175" s="1186">
        <v>9.08</v>
      </c>
      <c r="V1175" s="1186">
        <v>2.59</v>
      </c>
      <c r="W1175" s="1186"/>
      <c r="X1175" s="1186"/>
      <c r="Y1175" s="1186"/>
      <c r="Z1175" s="1186"/>
      <c r="AA1175" s="1186"/>
      <c r="AB1175" s="1186"/>
      <c r="AC1175" s="1186"/>
      <c r="AD1175" s="1187"/>
    </row>
    <row r="1176" spans="1:30" x14ac:dyDescent="0.2">
      <c r="A1176">
        <f t="shared" si="52"/>
        <v>32</v>
      </c>
      <c r="B1176">
        <v>1167</v>
      </c>
      <c r="C1176" s="1078">
        <v>2</v>
      </c>
      <c r="D1176" s="1077" t="s">
        <v>4530</v>
      </c>
      <c r="E1176" s="1077" t="s">
        <v>5117</v>
      </c>
      <c r="F1176" s="1185">
        <v>4</v>
      </c>
      <c r="G1176" s="1186">
        <v>8.7200000000000006</v>
      </c>
      <c r="H1176" s="1186">
        <v>2.38</v>
      </c>
      <c r="I1176" s="1186">
        <v>10.73</v>
      </c>
      <c r="J1176" s="1186">
        <v>2.74</v>
      </c>
      <c r="K1176" s="1186">
        <v>11.79</v>
      </c>
      <c r="L1176" s="1186">
        <v>3.04</v>
      </c>
      <c r="M1176" s="1186">
        <v>16.89</v>
      </c>
      <c r="N1176" s="1186">
        <v>3.59</v>
      </c>
      <c r="O1176" s="1186">
        <v>19.170000000000002</v>
      </c>
      <c r="P1176" s="1186">
        <v>4.0599999999999996</v>
      </c>
      <c r="Q1176" s="1186">
        <v>9.3800000000000008</v>
      </c>
      <c r="R1176" s="1186">
        <v>2</v>
      </c>
      <c r="S1176" s="1186">
        <v>14.77</v>
      </c>
      <c r="T1176" s="1186">
        <v>2.63</v>
      </c>
      <c r="U1176" s="1186">
        <v>16.77</v>
      </c>
      <c r="V1176" s="1186">
        <v>2.97</v>
      </c>
      <c r="W1176" s="1186"/>
      <c r="X1176" s="1186"/>
      <c r="Y1176" s="1186"/>
      <c r="Z1176" s="1186"/>
      <c r="AA1176" s="1186"/>
      <c r="AB1176" s="1186"/>
      <c r="AC1176" s="1186"/>
      <c r="AD1176" s="1187"/>
    </row>
    <row r="1177" spans="1:30" x14ac:dyDescent="0.2">
      <c r="A1177">
        <f t="shared" si="52"/>
        <v>32</v>
      </c>
      <c r="B1177">
        <v>1168</v>
      </c>
      <c r="C1177" s="1078">
        <v>2</v>
      </c>
      <c r="D1177" s="1077" t="s">
        <v>4530</v>
      </c>
      <c r="E1177" s="1077" t="s">
        <v>5118</v>
      </c>
      <c r="F1177" s="1185">
        <v>4</v>
      </c>
      <c r="G1177" s="1186">
        <v>8.7200000000000006</v>
      </c>
      <c r="H1177" s="1186">
        <v>2.38</v>
      </c>
      <c r="I1177" s="1186">
        <v>10.73</v>
      </c>
      <c r="J1177" s="1186">
        <v>2.74</v>
      </c>
      <c r="K1177" s="1186">
        <v>11.79</v>
      </c>
      <c r="L1177" s="1186">
        <v>3.04</v>
      </c>
      <c r="M1177" s="1186">
        <v>16.89</v>
      </c>
      <c r="N1177" s="1186">
        <v>3.59</v>
      </c>
      <c r="O1177" s="1186">
        <v>19.170000000000002</v>
      </c>
      <c r="P1177" s="1186">
        <v>4.0599999999999996</v>
      </c>
      <c r="Q1177" s="1186">
        <v>9.3800000000000008</v>
      </c>
      <c r="R1177" s="1186">
        <v>2</v>
      </c>
      <c r="S1177" s="1186">
        <v>14.77</v>
      </c>
      <c r="T1177" s="1186">
        <v>2.63</v>
      </c>
      <c r="U1177" s="1186">
        <v>16.77</v>
      </c>
      <c r="V1177" s="1186">
        <v>2.97</v>
      </c>
      <c r="W1177" s="1186"/>
      <c r="X1177" s="1186"/>
      <c r="Y1177" s="1186"/>
      <c r="Z1177" s="1186"/>
      <c r="AA1177" s="1186"/>
      <c r="AB1177" s="1186"/>
      <c r="AC1177" s="1186"/>
      <c r="AD1177" s="1187"/>
    </row>
    <row r="1178" spans="1:30" x14ac:dyDescent="0.2">
      <c r="A1178">
        <f t="shared" si="52"/>
        <v>32</v>
      </c>
      <c r="B1178">
        <v>1169</v>
      </c>
      <c r="C1178" s="1200">
        <v>2</v>
      </c>
      <c r="D1178" s="1201" t="s">
        <v>4530</v>
      </c>
      <c r="E1178" s="1201" t="s">
        <v>5119</v>
      </c>
      <c r="F1178" s="1185">
        <v>4</v>
      </c>
      <c r="G1178" s="1186">
        <v>10.63</v>
      </c>
      <c r="H1178" s="1186">
        <v>2.2999999999999998</v>
      </c>
      <c r="I1178" s="1186">
        <v>13.02</v>
      </c>
      <c r="J1178" s="1186">
        <v>2.5499999999999998</v>
      </c>
      <c r="K1178" s="1186">
        <v>14.59</v>
      </c>
      <c r="L1178" s="1186">
        <v>2.85</v>
      </c>
      <c r="M1178" s="1186">
        <v>19.850000000000001</v>
      </c>
      <c r="N1178" s="1186">
        <v>3.4</v>
      </c>
      <c r="O1178" s="1186">
        <v>22.36</v>
      </c>
      <c r="P1178" s="1186">
        <v>4.28</v>
      </c>
      <c r="Q1178" s="1186">
        <v>10.45</v>
      </c>
      <c r="R1178" s="1186">
        <v>1.92</v>
      </c>
      <c r="S1178" s="1186">
        <v>15.93</v>
      </c>
      <c r="T1178" s="1186">
        <v>2.5499999999999998</v>
      </c>
      <c r="U1178" s="1186">
        <v>17.93</v>
      </c>
      <c r="V1178" s="1186">
        <v>3.22</v>
      </c>
      <c r="W1178" s="1186"/>
      <c r="X1178" s="1186"/>
      <c r="Y1178" s="1186"/>
      <c r="Z1178" s="1186"/>
      <c r="AA1178" s="1186"/>
      <c r="AB1178" s="1186"/>
      <c r="AC1178" s="1186"/>
      <c r="AD1178" s="1187"/>
    </row>
    <row r="1179" spans="1:30" x14ac:dyDescent="0.2">
      <c r="A1179">
        <f t="shared" si="52"/>
        <v>32</v>
      </c>
      <c r="B1179">
        <v>1170</v>
      </c>
      <c r="C1179" s="1200">
        <v>2</v>
      </c>
      <c r="D1179" s="1201" t="s">
        <v>4530</v>
      </c>
      <c r="E1179" s="1201" t="s">
        <v>5120</v>
      </c>
      <c r="F1179" s="1185">
        <v>4</v>
      </c>
      <c r="G1179" s="1186">
        <v>10.63</v>
      </c>
      <c r="H1179" s="1186">
        <v>2.2999999999999998</v>
      </c>
      <c r="I1179" s="1186">
        <v>13.02</v>
      </c>
      <c r="J1179" s="1186">
        <v>2.5499999999999998</v>
      </c>
      <c r="K1179" s="1186">
        <v>14.59</v>
      </c>
      <c r="L1179" s="1186">
        <v>2.85</v>
      </c>
      <c r="M1179" s="1186">
        <v>19.850000000000001</v>
      </c>
      <c r="N1179" s="1186">
        <v>3.4</v>
      </c>
      <c r="O1179" s="1186">
        <v>22.36</v>
      </c>
      <c r="P1179" s="1186">
        <v>4.28</v>
      </c>
      <c r="Q1179" s="1186">
        <v>10.45</v>
      </c>
      <c r="R1179" s="1186">
        <v>1.92</v>
      </c>
      <c r="S1179" s="1186">
        <v>15.93</v>
      </c>
      <c r="T1179" s="1186">
        <v>2.5499999999999998</v>
      </c>
      <c r="U1179" s="1186">
        <v>17.93</v>
      </c>
      <c r="V1179" s="1186">
        <v>3.22</v>
      </c>
      <c r="W1179" s="1186"/>
      <c r="X1179" s="1186"/>
      <c r="Y1179" s="1186"/>
      <c r="Z1179" s="1186"/>
      <c r="AA1179" s="1186"/>
      <c r="AB1179" s="1186"/>
      <c r="AC1179" s="1186"/>
      <c r="AD1179" s="1187"/>
    </row>
    <row r="1180" spans="1:30" x14ac:dyDescent="0.2">
      <c r="A1180">
        <f t="shared" si="52"/>
        <v>32</v>
      </c>
      <c r="B1180">
        <v>1171</v>
      </c>
      <c r="C1180" s="1200">
        <v>2</v>
      </c>
      <c r="D1180" s="1201" t="s">
        <v>4530</v>
      </c>
      <c r="E1180" s="1201" t="s">
        <v>5121</v>
      </c>
      <c r="F1180" s="1185">
        <v>4</v>
      </c>
      <c r="G1180" s="1186">
        <v>6.74</v>
      </c>
      <c r="H1180" s="1186">
        <v>2.52</v>
      </c>
      <c r="I1180" s="1186">
        <v>8.25</v>
      </c>
      <c r="J1180" s="1186">
        <v>2.79</v>
      </c>
      <c r="K1180" s="1186">
        <v>8.9499999999999993</v>
      </c>
      <c r="L1180" s="1186">
        <v>2.96</v>
      </c>
      <c r="M1180" s="1186">
        <v>10.84</v>
      </c>
      <c r="N1180" s="1186">
        <v>3.21</v>
      </c>
      <c r="O1180" s="1186">
        <v>12.12</v>
      </c>
      <c r="P1180" s="1186">
        <v>3.46</v>
      </c>
      <c r="Q1180" s="1186">
        <v>6.9</v>
      </c>
      <c r="R1180" s="1186">
        <v>2.09</v>
      </c>
      <c r="S1180" s="1186">
        <v>8.41</v>
      </c>
      <c r="T1180" s="1186">
        <v>2.4</v>
      </c>
      <c r="U1180" s="1186">
        <v>9.08</v>
      </c>
      <c r="V1180" s="1186">
        <v>2.59</v>
      </c>
      <c r="W1180" s="1186"/>
      <c r="X1180" s="1186"/>
      <c r="Y1180" s="1186"/>
      <c r="Z1180" s="1186"/>
      <c r="AA1180" s="1186"/>
      <c r="AB1180" s="1186"/>
      <c r="AC1180" s="1186"/>
      <c r="AD1180" s="1187"/>
    </row>
    <row r="1181" spans="1:30" x14ac:dyDescent="0.2">
      <c r="A1181">
        <f t="shared" si="52"/>
        <v>32</v>
      </c>
      <c r="B1181">
        <v>1172</v>
      </c>
      <c r="C1181" s="1200">
        <v>2</v>
      </c>
      <c r="D1181" s="1201" t="s">
        <v>4530</v>
      </c>
      <c r="E1181" s="1201" t="s">
        <v>5122</v>
      </c>
      <c r="F1181" s="1185">
        <v>4</v>
      </c>
      <c r="G1181" s="1186">
        <v>6.74</v>
      </c>
      <c r="H1181" s="1186">
        <v>2.52</v>
      </c>
      <c r="I1181" s="1186">
        <v>8.25</v>
      </c>
      <c r="J1181" s="1186">
        <v>2.79</v>
      </c>
      <c r="K1181" s="1186">
        <v>8.9499999999999993</v>
      </c>
      <c r="L1181" s="1186">
        <v>2.96</v>
      </c>
      <c r="M1181" s="1186">
        <v>10.84</v>
      </c>
      <c r="N1181" s="1186">
        <v>3.21</v>
      </c>
      <c r="O1181" s="1186">
        <v>12.12</v>
      </c>
      <c r="P1181" s="1186">
        <v>3.46</v>
      </c>
      <c r="Q1181" s="1186">
        <v>6.9</v>
      </c>
      <c r="R1181" s="1186">
        <v>2.09</v>
      </c>
      <c r="S1181" s="1186">
        <v>8.41</v>
      </c>
      <c r="T1181" s="1186">
        <v>2.4</v>
      </c>
      <c r="U1181" s="1186">
        <v>9.08</v>
      </c>
      <c r="V1181" s="1186">
        <v>2.59</v>
      </c>
      <c r="W1181" s="1186"/>
      <c r="X1181" s="1186"/>
      <c r="Y1181" s="1186"/>
      <c r="Z1181" s="1186"/>
      <c r="AA1181" s="1186"/>
      <c r="AB1181" s="1186"/>
      <c r="AC1181" s="1186"/>
      <c r="AD1181" s="1187"/>
    </row>
    <row r="1182" spans="1:30" x14ac:dyDescent="0.2">
      <c r="A1182">
        <f t="shared" si="52"/>
        <v>32</v>
      </c>
      <c r="B1182">
        <v>1173</v>
      </c>
      <c r="C1182" s="1200">
        <v>2</v>
      </c>
      <c r="D1182" s="1201" t="s">
        <v>4530</v>
      </c>
      <c r="E1182" s="1201" t="s">
        <v>5123</v>
      </c>
      <c r="F1182" s="1185">
        <v>4</v>
      </c>
      <c r="G1182" s="1186">
        <v>4.0999999999999996</v>
      </c>
      <c r="H1182" s="1186">
        <v>2.4</v>
      </c>
      <c r="I1182" s="1186">
        <v>4.99</v>
      </c>
      <c r="J1182" s="1186">
        <v>2.76</v>
      </c>
      <c r="K1182" s="1186">
        <v>5.51</v>
      </c>
      <c r="L1182" s="1186">
        <v>3.06</v>
      </c>
      <c r="M1182" s="1186">
        <v>7.57</v>
      </c>
      <c r="N1182" s="1186">
        <v>3.82</v>
      </c>
      <c r="O1182" s="1186">
        <v>8.8000000000000007</v>
      </c>
      <c r="P1182" s="1186">
        <v>4.3600000000000003</v>
      </c>
      <c r="Q1182" s="1186">
        <v>4.66</v>
      </c>
      <c r="R1182" s="1186">
        <v>1.85</v>
      </c>
      <c r="S1182" s="1186">
        <v>7.08</v>
      </c>
      <c r="T1182" s="1186">
        <v>2.56</v>
      </c>
      <c r="U1182" s="1186">
        <v>8.23</v>
      </c>
      <c r="V1182" s="1186">
        <v>2.92</v>
      </c>
      <c r="W1182" s="1186"/>
      <c r="X1182" s="1186"/>
      <c r="Y1182" s="1186"/>
      <c r="Z1182" s="1186"/>
      <c r="AA1182" s="1186"/>
      <c r="AB1182" s="1186"/>
      <c r="AC1182" s="1186"/>
      <c r="AD1182" s="1187"/>
    </row>
    <row r="1183" spans="1:30" x14ac:dyDescent="0.2">
      <c r="A1183">
        <f t="shared" si="52"/>
        <v>32</v>
      </c>
      <c r="B1183">
        <v>1174</v>
      </c>
      <c r="C1183" s="1200">
        <v>2</v>
      </c>
      <c r="D1183" s="1201" t="s">
        <v>4530</v>
      </c>
      <c r="E1183" s="1201" t="s">
        <v>5124</v>
      </c>
      <c r="F1183" s="1185">
        <v>4</v>
      </c>
      <c r="G1183" s="1186">
        <v>4.0999999999999996</v>
      </c>
      <c r="H1183" s="1186">
        <v>2.4</v>
      </c>
      <c r="I1183" s="1186">
        <v>4.99</v>
      </c>
      <c r="J1183" s="1186">
        <v>2.76</v>
      </c>
      <c r="K1183" s="1186">
        <v>5.51</v>
      </c>
      <c r="L1183" s="1186">
        <v>3.06</v>
      </c>
      <c r="M1183" s="1186">
        <v>7.57</v>
      </c>
      <c r="N1183" s="1186">
        <v>3.82</v>
      </c>
      <c r="O1183" s="1186">
        <v>8.8000000000000007</v>
      </c>
      <c r="P1183" s="1186">
        <v>4.3600000000000003</v>
      </c>
      <c r="Q1183" s="1186">
        <v>4.66</v>
      </c>
      <c r="R1183" s="1186">
        <v>1.85</v>
      </c>
      <c r="S1183" s="1186">
        <v>7.08</v>
      </c>
      <c r="T1183" s="1186">
        <v>2.56</v>
      </c>
      <c r="U1183" s="1186">
        <v>8.23</v>
      </c>
      <c r="V1183" s="1186">
        <v>2.92</v>
      </c>
      <c r="W1183" s="1186"/>
      <c r="X1183" s="1186"/>
      <c r="Y1183" s="1186"/>
      <c r="Z1183" s="1186"/>
      <c r="AA1183" s="1186"/>
      <c r="AB1183" s="1186"/>
      <c r="AC1183" s="1186"/>
      <c r="AD1183" s="1187"/>
    </row>
    <row r="1184" spans="1:30" x14ac:dyDescent="0.2">
      <c r="A1184">
        <f t="shared" si="52"/>
        <v>32</v>
      </c>
      <c r="B1184">
        <v>1175</v>
      </c>
      <c r="C1184" s="1200">
        <v>2</v>
      </c>
      <c r="D1184" s="1201" t="s">
        <v>4530</v>
      </c>
      <c r="E1184" s="1201" t="s">
        <v>5125</v>
      </c>
      <c r="F1184" s="1185">
        <v>4</v>
      </c>
      <c r="G1184" s="1186">
        <v>5.35</v>
      </c>
      <c r="H1184" s="1186">
        <v>2.5099999999999998</v>
      </c>
      <c r="I1184" s="1186">
        <v>6.79</v>
      </c>
      <c r="J1184" s="1186">
        <v>2.9</v>
      </c>
      <c r="K1184" s="1186">
        <v>7.34</v>
      </c>
      <c r="L1184" s="1186">
        <v>3.11</v>
      </c>
      <c r="M1184" s="1186">
        <v>7.91</v>
      </c>
      <c r="N1184" s="1186">
        <v>3.59</v>
      </c>
      <c r="O1184" s="1186">
        <v>8.89</v>
      </c>
      <c r="P1184" s="1186">
        <v>4</v>
      </c>
      <c r="Q1184" s="1186">
        <v>6.06</v>
      </c>
      <c r="R1184" s="1186">
        <v>1.95</v>
      </c>
      <c r="S1184" s="1186">
        <v>7.07</v>
      </c>
      <c r="T1184" s="1186">
        <v>2.41</v>
      </c>
      <c r="U1184" s="1186">
        <v>7.95</v>
      </c>
      <c r="V1184" s="1186">
        <v>2.68</v>
      </c>
      <c r="W1184" s="1186"/>
      <c r="X1184" s="1186"/>
      <c r="Y1184" s="1186"/>
      <c r="Z1184" s="1186"/>
      <c r="AA1184" s="1186"/>
      <c r="AB1184" s="1186"/>
      <c r="AC1184" s="1186"/>
      <c r="AD1184" s="1187"/>
    </row>
    <row r="1185" spans="1:30" x14ac:dyDescent="0.2">
      <c r="A1185">
        <f t="shared" si="52"/>
        <v>32</v>
      </c>
      <c r="B1185">
        <v>1176</v>
      </c>
      <c r="C1185" s="1200">
        <v>2</v>
      </c>
      <c r="D1185" s="1201" t="s">
        <v>4530</v>
      </c>
      <c r="E1185" s="1201" t="s">
        <v>5126</v>
      </c>
      <c r="F1185" s="1185">
        <v>4</v>
      </c>
      <c r="G1185" s="1186">
        <v>5.35</v>
      </c>
      <c r="H1185" s="1186">
        <v>2.5099999999999998</v>
      </c>
      <c r="I1185" s="1186">
        <v>6.79</v>
      </c>
      <c r="J1185" s="1186">
        <v>2.9</v>
      </c>
      <c r="K1185" s="1186">
        <v>7.34</v>
      </c>
      <c r="L1185" s="1186">
        <v>3.11</v>
      </c>
      <c r="M1185" s="1186">
        <v>7.91</v>
      </c>
      <c r="N1185" s="1186">
        <v>3.59</v>
      </c>
      <c r="O1185" s="1186">
        <v>8.89</v>
      </c>
      <c r="P1185" s="1186">
        <v>4</v>
      </c>
      <c r="Q1185" s="1186">
        <v>6.06</v>
      </c>
      <c r="R1185" s="1186">
        <v>1.95</v>
      </c>
      <c r="S1185" s="1186">
        <v>7.07</v>
      </c>
      <c r="T1185" s="1186">
        <v>2.41</v>
      </c>
      <c r="U1185" s="1186">
        <v>7.95</v>
      </c>
      <c r="V1185" s="1186">
        <v>2.68</v>
      </c>
      <c r="W1185" s="1186"/>
      <c r="X1185" s="1186"/>
      <c r="Y1185" s="1186"/>
      <c r="Z1185" s="1186"/>
      <c r="AA1185" s="1186"/>
      <c r="AB1185" s="1186"/>
      <c r="AC1185" s="1186"/>
      <c r="AD1185" s="1187"/>
    </row>
    <row r="1186" spans="1:30" x14ac:dyDescent="0.2">
      <c r="A1186">
        <f t="shared" si="52"/>
        <v>32</v>
      </c>
      <c r="B1186">
        <v>1177</v>
      </c>
      <c r="C1186" s="1078">
        <v>3</v>
      </c>
      <c r="D1186" s="1077" t="s">
        <v>4530</v>
      </c>
      <c r="E1186" s="1077" t="s">
        <v>5127</v>
      </c>
      <c r="F1186" s="1185">
        <v>4</v>
      </c>
      <c r="G1186" s="1186"/>
      <c r="H1186" s="1186"/>
      <c r="I1186" s="1186"/>
      <c r="J1186" s="1186"/>
      <c r="K1186" s="1186"/>
      <c r="L1186" s="1186"/>
      <c r="M1186" s="1186"/>
      <c r="N1186" s="1186"/>
      <c r="O1186" s="1186"/>
      <c r="P1186" s="1186"/>
      <c r="Q1186" s="1186"/>
      <c r="R1186" s="1186"/>
      <c r="S1186" s="1186"/>
      <c r="T1186" s="1186"/>
      <c r="U1186" s="1186"/>
      <c r="V1186" s="1186"/>
      <c r="W1186" s="1186">
        <v>12.5</v>
      </c>
      <c r="X1186" s="1186">
        <v>4.7</v>
      </c>
      <c r="Y1186" s="1186">
        <v>11.2</v>
      </c>
      <c r="Z1186" s="1186">
        <v>2.6</v>
      </c>
      <c r="AA1186" s="1186">
        <v>16</v>
      </c>
      <c r="AB1186" s="1186">
        <v>4.9000000000000004</v>
      </c>
      <c r="AC1186" s="1186">
        <v>14.1</v>
      </c>
      <c r="AD1186" s="1187">
        <v>3.2</v>
      </c>
    </row>
    <row r="1187" spans="1:30" x14ac:dyDescent="0.2">
      <c r="A1187">
        <f t="shared" si="52"/>
        <v>32</v>
      </c>
      <c r="B1187">
        <v>1178</v>
      </c>
      <c r="C1187" s="1078">
        <v>3</v>
      </c>
      <c r="D1187" s="1077" t="s">
        <v>4530</v>
      </c>
      <c r="E1187" s="1077" t="s">
        <v>5128</v>
      </c>
      <c r="F1187" s="1185">
        <v>4</v>
      </c>
      <c r="G1187" s="1186"/>
      <c r="H1187" s="1186"/>
      <c r="I1187" s="1186"/>
      <c r="J1187" s="1186"/>
      <c r="K1187" s="1186"/>
      <c r="L1187" s="1186"/>
      <c r="M1187" s="1186"/>
      <c r="N1187" s="1186"/>
      <c r="O1187" s="1186"/>
      <c r="P1187" s="1186"/>
      <c r="Q1187" s="1186"/>
      <c r="R1187" s="1186"/>
      <c r="S1187" s="1186"/>
      <c r="T1187" s="1186"/>
      <c r="U1187" s="1186"/>
      <c r="V1187" s="1186"/>
      <c r="W1187" s="1186">
        <v>12.5</v>
      </c>
      <c r="X1187" s="1186">
        <v>4.7</v>
      </c>
      <c r="Y1187" s="1186">
        <v>11.2</v>
      </c>
      <c r="Z1187" s="1186">
        <v>2.6</v>
      </c>
      <c r="AA1187" s="1186">
        <v>16</v>
      </c>
      <c r="AB1187" s="1186">
        <v>4.9000000000000004</v>
      </c>
      <c r="AC1187" s="1186">
        <v>14.1</v>
      </c>
      <c r="AD1187" s="1187">
        <v>3.2</v>
      </c>
    </row>
    <row r="1188" spans="1:30" x14ac:dyDescent="0.2">
      <c r="A1188">
        <f t="shared" si="52"/>
        <v>32</v>
      </c>
      <c r="B1188">
        <v>1179</v>
      </c>
      <c r="C1188" s="1078">
        <v>3</v>
      </c>
      <c r="D1188" s="1077" t="s">
        <v>4530</v>
      </c>
      <c r="E1188" s="1077" t="s">
        <v>5129</v>
      </c>
      <c r="F1188" s="1185">
        <v>4</v>
      </c>
      <c r="G1188" s="1186"/>
      <c r="H1188" s="1186"/>
      <c r="I1188" s="1186"/>
      <c r="J1188" s="1186"/>
      <c r="K1188" s="1186"/>
      <c r="L1188" s="1186"/>
      <c r="M1188" s="1186"/>
      <c r="N1188" s="1186"/>
      <c r="O1188" s="1186"/>
      <c r="P1188" s="1186"/>
      <c r="Q1188" s="1186"/>
      <c r="R1188" s="1186"/>
      <c r="S1188" s="1186"/>
      <c r="T1188" s="1186"/>
      <c r="U1188" s="1186"/>
      <c r="V1188" s="1186"/>
      <c r="W1188" s="1186">
        <v>15.5</v>
      </c>
      <c r="X1188" s="1186">
        <v>4.8</v>
      </c>
      <c r="Y1188" s="1186">
        <v>14.1</v>
      </c>
      <c r="Z1188" s="1186">
        <v>2.5</v>
      </c>
      <c r="AA1188" s="1186">
        <v>20</v>
      </c>
      <c r="AB1188" s="1186">
        <v>5.8</v>
      </c>
      <c r="AC1188" s="1186">
        <v>17.899999999999999</v>
      </c>
      <c r="AD1188" s="1187">
        <v>3.2</v>
      </c>
    </row>
    <row r="1189" spans="1:30" x14ac:dyDescent="0.2">
      <c r="A1189">
        <f t="shared" si="52"/>
        <v>32</v>
      </c>
      <c r="B1189">
        <v>1180</v>
      </c>
      <c r="C1189" s="1078">
        <v>3</v>
      </c>
      <c r="D1189" s="1077" t="s">
        <v>4530</v>
      </c>
      <c r="E1189" s="1077" t="s">
        <v>5130</v>
      </c>
      <c r="F1189" s="1185">
        <v>4</v>
      </c>
      <c r="G1189" s="1186"/>
      <c r="H1189" s="1186"/>
      <c r="I1189" s="1186"/>
      <c r="J1189" s="1186"/>
      <c r="K1189" s="1186"/>
      <c r="L1189" s="1186"/>
      <c r="M1189" s="1186"/>
      <c r="N1189" s="1186"/>
      <c r="O1189" s="1186"/>
      <c r="P1189" s="1186"/>
      <c r="Q1189" s="1186"/>
      <c r="R1189" s="1186"/>
      <c r="S1189" s="1186"/>
      <c r="T1189" s="1186"/>
      <c r="U1189" s="1186"/>
      <c r="V1189" s="1186"/>
      <c r="W1189" s="1186">
        <v>15.5</v>
      </c>
      <c r="X1189" s="1186">
        <v>4.8</v>
      </c>
      <c r="Y1189" s="1186">
        <v>14.1</v>
      </c>
      <c r="Z1189" s="1186">
        <v>2.5</v>
      </c>
      <c r="AA1189" s="1186">
        <v>20</v>
      </c>
      <c r="AB1189" s="1186">
        <v>5.8</v>
      </c>
      <c r="AC1189" s="1186">
        <v>17.899999999999999</v>
      </c>
      <c r="AD1189" s="1187">
        <v>3.2</v>
      </c>
    </row>
    <row r="1190" spans="1:30" x14ac:dyDescent="0.2">
      <c r="A1190">
        <f t="shared" si="52"/>
        <v>32</v>
      </c>
      <c r="B1190">
        <v>1181</v>
      </c>
      <c r="C1190" s="1078">
        <v>3</v>
      </c>
      <c r="D1190" s="1077" t="s">
        <v>4530</v>
      </c>
      <c r="E1190" s="1077" t="s">
        <v>5131</v>
      </c>
      <c r="F1190" s="1185">
        <v>4</v>
      </c>
      <c r="G1190" s="1186"/>
      <c r="H1190" s="1186"/>
      <c r="I1190" s="1186"/>
      <c r="J1190" s="1186"/>
      <c r="K1190" s="1186"/>
      <c r="L1190" s="1186"/>
      <c r="M1190" s="1186"/>
      <c r="N1190" s="1186"/>
      <c r="O1190" s="1186"/>
      <c r="P1190" s="1186"/>
      <c r="Q1190" s="1186"/>
      <c r="R1190" s="1186"/>
      <c r="S1190" s="1186"/>
      <c r="T1190" s="1186"/>
      <c r="U1190" s="1186"/>
      <c r="V1190" s="1186"/>
      <c r="W1190" s="1186">
        <v>5.9</v>
      </c>
      <c r="X1190" s="1186">
        <v>4.5999999999999996</v>
      </c>
      <c r="Y1190" s="1186">
        <v>5.0999999999999996</v>
      </c>
      <c r="Z1190" s="1186">
        <v>2.7</v>
      </c>
      <c r="AA1190" s="1186">
        <v>8</v>
      </c>
      <c r="AB1190" s="1186">
        <v>5.8</v>
      </c>
      <c r="AC1190" s="1186">
        <v>6.9</v>
      </c>
      <c r="AD1190" s="1187">
        <v>3.3</v>
      </c>
    </row>
    <row r="1191" spans="1:30" x14ac:dyDescent="0.2">
      <c r="A1191">
        <f t="shared" si="52"/>
        <v>32</v>
      </c>
      <c r="B1191">
        <v>1182</v>
      </c>
      <c r="C1191" s="1078">
        <v>3</v>
      </c>
      <c r="D1191" s="1077" t="s">
        <v>4530</v>
      </c>
      <c r="E1191" s="1077" t="s">
        <v>5132</v>
      </c>
      <c r="F1191" s="1185">
        <v>4</v>
      </c>
      <c r="G1191" s="1186"/>
      <c r="H1191" s="1186"/>
      <c r="I1191" s="1186"/>
      <c r="J1191" s="1186"/>
      <c r="K1191" s="1186"/>
      <c r="L1191" s="1186"/>
      <c r="M1191" s="1186"/>
      <c r="N1191" s="1186"/>
      <c r="O1191" s="1186"/>
      <c r="P1191" s="1186"/>
      <c r="Q1191" s="1186"/>
      <c r="R1191" s="1186"/>
      <c r="S1191" s="1186"/>
      <c r="T1191" s="1186"/>
      <c r="U1191" s="1186"/>
      <c r="V1191" s="1186"/>
      <c r="W1191" s="1186">
        <v>5.9</v>
      </c>
      <c r="X1191" s="1186">
        <v>4.5999999999999996</v>
      </c>
      <c r="Y1191" s="1186">
        <v>5.0999999999999996</v>
      </c>
      <c r="Z1191" s="1186">
        <v>2.7</v>
      </c>
      <c r="AA1191" s="1186">
        <v>8</v>
      </c>
      <c r="AB1191" s="1186">
        <v>5.8</v>
      </c>
      <c r="AC1191" s="1186">
        <v>6.9</v>
      </c>
      <c r="AD1191" s="1187">
        <v>3.3</v>
      </c>
    </row>
    <row r="1192" spans="1:30" x14ac:dyDescent="0.2">
      <c r="A1192">
        <f t="shared" si="52"/>
        <v>32</v>
      </c>
      <c r="B1192">
        <v>1183</v>
      </c>
      <c r="C1192" s="1078">
        <v>3</v>
      </c>
      <c r="D1192" s="1077" t="s">
        <v>4530</v>
      </c>
      <c r="E1192" s="1077" t="s">
        <v>5133</v>
      </c>
      <c r="F1192" s="1185">
        <v>4</v>
      </c>
      <c r="G1192" s="1186"/>
      <c r="H1192" s="1186"/>
      <c r="I1192" s="1186"/>
      <c r="J1192" s="1186"/>
      <c r="K1192" s="1186"/>
      <c r="L1192" s="1186"/>
      <c r="M1192" s="1186"/>
      <c r="N1192" s="1186"/>
      <c r="O1192" s="1186"/>
      <c r="P1192" s="1186"/>
      <c r="Q1192" s="1186"/>
      <c r="R1192" s="1186"/>
      <c r="S1192" s="1186"/>
      <c r="T1192" s="1186"/>
      <c r="U1192" s="1186"/>
      <c r="V1192" s="1186"/>
      <c r="W1192" s="1186">
        <v>7.6</v>
      </c>
      <c r="X1192" s="1186">
        <v>4.5999999999999996</v>
      </c>
      <c r="Y1192" s="1186">
        <v>6.8</v>
      </c>
      <c r="Z1192" s="1186">
        <v>2.6</v>
      </c>
      <c r="AA1192" s="1186">
        <v>10.199999999999999</v>
      </c>
      <c r="AB1192" s="1186">
        <v>5.0999999999999996</v>
      </c>
      <c r="AC1192" s="1186">
        <v>9.1999999999999993</v>
      </c>
      <c r="AD1192" s="1187">
        <v>3.1</v>
      </c>
    </row>
    <row r="1193" spans="1:30" x14ac:dyDescent="0.2">
      <c r="A1193">
        <f t="shared" si="52"/>
        <v>32</v>
      </c>
      <c r="B1193">
        <v>1184</v>
      </c>
      <c r="C1193" s="1078">
        <v>3</v>
      </c>
      <c r="D1193" s="1077" t="s">
        <v>4530</v>
      </c>
      <c r="E1193" s="1077" t="s">
        <v>5134</v>
      </c>
      <c r="F1193" s="1185">
        <v>4</v>
      </c>
      <c r="G1193" s="1186"/>
      <c r="H1193" s="1186"/>
      <c r="I1193" s="1186"/>
      <c r="J1193" s="1186"/>
      <c r="K1193" s="1186"/>
      <c r="L1193" s="1186"/>
      <c r="M1193" s="1186"/>
      <c r="N1193" s="1186"/>
      <c r="O1193" s="1186"/>
      <c r="P1193" s="1186"/>
      <c r="Q1193" s="1186"/>
      <c r="R1193" s="1186"/>
      <c r="S1193" s="1186"/>
      <c r="T1193" s="1186"/>
      <c r="U1193" s="1186"/>
      <c r="V1193" s="1186"/>
      <c r="W1193" s="1186">
        <v>7.6</v>
      </c>
      <c r="X1193" s="1186">
        <v>4.5999999999999996</v>
      </c>
      <c r="Y1193" s="1186">
        <v>6.8</v>
      </c>
      <c r="Z1193" s="1186">
        <v>2.6</v>
      </c>
      <c r="AA1193" s="1186">
        <v>10.199999999999999</v>
      </c>
      <c r="AB1193" s="1186">
        <v>5.0999999999999996</v>
      </c>
      <c r="AC1193" s="1186">
        <v>9.1999999999999993</v>
      </c>
      <c r="AD1193" s="1187">
        <v>3.1</v>
      </c>
    </row>
    <row r="1194" spans="1:30" x14ac:dyDescent="0.2">
      <c r="A1194">
        <f t="shared" si="52"/>
        <v>32</v>
      </c>
      <c r="B1194">
        <v>1185</v>
      </c>
      <c r="C1194" s="1078">
        <v>2</v>
      </c>
      <c r="D1194" s="1077" t="s">
        <v>4530</v>
      </c>
      <c r="E1194" s="1077" t="s">
        <v>5589</v>
      </c>
      <c r="F1194" s="1185">
        <v>4</v>
      </c>
      <c r="G1194" s="1186">
        <v>4.6664820000000002</v>
      </c>
      <c r="H1194" s="1186">
        <v>2.3580000000000001</v>
      </c>
      <c r="I1194" s="1186">
        <v>5.4187576870835859</v>
      </c>
      <c r="J1194" s="1186">
        <v>2.5051428895352692</v>
      </c>
      <c r="K1194" s="1186">
        <v>2.3994827999999999</v>
      </c>
      <c r="L1194" s="1186">
        <v>3.8940000000000001</v>
      </c>
      <c r="M1194" s="1186">
        <v>2.8397779000000001</v>
      </c>
      <c r="N1194" s="1186">
        <v>4.8229999999999995</v>
      </c>
      <c r="O1194" s="1186">
        <v>2.7965339999999999</v>
      </c>
      <c r="P1194" s="1186">
        <v>6.63</v>
      </c>
      <c r="Q1194" s="1186">
        <v>4.7817440000000007</v>
      </c>
      <c r="R1194" s="1186">
        <v>1.798</v>
      </c>
      <c r="S1194" s="1186">
        <v>2.1887999999999996</v>
      </c>
      <c r="T1194" s="1186">
        <v>2.2799999999999998</v>
      </c>
      <c r="U1194" s="1186">
        <v>2.5984529999999997</v>
      </c>
      <c r="V1194" s="1186">
        <v>3.51</v>
      </c>
      <c r="W1194" s="1186"/>
      <c r="X1194" s="1186"/>
      <c r="Y1194" s="1186"/>
      <c r="Z1194" s="1186"/>
      <c r="AA1194" s="1186"/>
      <c r="AB1194" s="1186"/>
      <c r="AC1194" s="1186"/>
      <c r="AD1194" s="1187"/>
    </row>
    <row r="1195" spans="1:30" x14ac:dyDescent="0.2">
      <c r="A1195">
        <f t="shared" si="52"/>
        <v>32</v>
      </c>
      <c r="B1195">
        <v>1186</v>
      </c>
      <c r="C1195" s="1078">
        <v>2</v>
      </c>
      <c r="D1195" s="1077" t="s">
        <v>4530</v>
      </c>
      <c r="E1195" s="1077" t="s">
        <v>5590</v>
      </c>
      <c r="F1195" s="1185">
        <v>4</v>
      </c>
      <c r="G1195" s="1186">
        <v>5.8264080000000007</v>
      </c>
      <c r="H1195" s="1186">
        <v>2.2120000000000002</v>
      </c>
      <c r="I1195" s="1186">
        <v>6.7052413345894148</v>
      </c>
      <c r="J1195" s="1186">
        <v>2.351227036898357</v>
      </c>
      <c r="K1195" s="1186">
        <v>2.8608949158282502</v>
      </c>
      <c r="L1195" s="1186">
        <v>4.0401774078530952</v>
      </c>
      <c r="M1195" s="1186">
        <v>2.8397779000000001</v>
      </c>
      <c r="N1195" s="1186">
        <v>4.8229999999999995</v>
      </c>
      <c r="O1195" s="1186">
        <v>3.5017450000000001</v>
      </c>
      <c r="P1195" s="1186">
        <v>6.3380000000000001</v>
      </c>
      <c r="Q1195" s="1186">
        <v>5.0279520000000009</v>
      </c>
      <c r="R1195" s="1186">
        <v>1.841</v>
      </c>
      <c r="S1195" s="1186">
        <v>2.1887999999999996</v>
      </c>
      <c r="T1195" s="1186">
        <v>2.2799999999999998</v>
      </c>
      <c r="U1195" s="1186">
        <v>3.2836041000000002</v>
      </c>
      <c r="V1195" s="1186">
        <v>3.5070000000000001</v>
      </c>
      <c r="W1195" s="1186"/>
      <c r="X1195" s="1186"/>
      <c r="Y1195" s="1186"/>
      <c r="Z1195" s="1186"/>
      <c r="AA1195" s="1186"/>
      <c r="AB1195" s="1186"/>
      <c r="AC1195" s="1186"/>
      <c r="AD1195" s="1187"/>
    </row>
    <row r="1196" spans="1:30" x14ac:dyDescent="0.2">
      <c r="A1196">
        <f t="shared" si="52"/>
        <v>32</v>
      </c>
      <c r="B1196">
        <v>1187</v>
      </c>
      <c r="C1196" s="1078">
        <v>2</v>
      </c>
      <c r="D1196" s="1077" t="s">
        <v>4530</v>
      </c>
      <c r="E1196" s="1077" t="s">
        <v>5591</v>
      </c>
      <c r="F1196" s="1185">
        <v>4</v>
      </c>
      <c r="G1196" s="1186">
        <v>8.8000000000000007</v>
      </c>
      <c r="H1196" s="1186">
        <v>2.5</v>
      </c>
      <c r="I1196" s="1186">
        <v>9.8000000000000007</v>
      </c>
      <c r="J1196" s="1186">
        <v>2.6</v>
      </c>
      <c r="K1196" s="1186">
        <v>4.5999999999999996</v>
      </c>
      <c r="L1196" s="1186">
        <v>4.4000000000000004</v>
      </c>
      <c r="M1196" s="1186">
        <v>5.6</v>
      </c>
      <c r="N1196" s="1186">
        <v>4.8</v>
      </c>
      <c r="O1196" s="1186">
        <v>5.2</v>
      </c>
      <c r="P1196" s="1186">
        <v>6.7</v>
      </c>
      <c r="Q1196" s="1186">
        <v>9.5</v>
      </c>
      <c r="R1196" s="1186">
        <v>1.9</v>
      </c>
      <c r="S1196" s="1186">
        <v>4.4000000000000004</v>
      </c>
      <c r="T1196" s="1186">
        <v>2.9</v>
      </c>
      <c r="U1196" s="1186">
        <v>4.4000000000000004</v>
      </c>
      <c r="V1196" s="1186">
        <v>3.8</v>
      </c>
      <c r="W1196" s="1186"/>
      <c r="X1196" s="1186"/>
      <c r="Y1196" s="1186"/>
      <c r="Z1196" s="1186"/>
      <c r="AA1196" s="1186"/>
      <c r="AB1196" s="1186"/>
      <c r="AC1196" s="1186"/>
      <c r="AD1196" s="1187"/>
    </row>
    <row r="1197" spans="1:30" x14ac:dyDescent="0.2">
      <c r="A1197">
        <f t="shared" si="52"/>
        <v>32</v>
      </c>
      <c r="B1197">
        <v>1188</v>
      </c>
      <c r="C1197" s="1078">
        <v>2</v>
      </c>
      <c r="D1197" s="1077" t="s">
        <v>4530</v>
      </c>
      <c r="E1197" s="1077" t="s">
        <v>5592</v>
      </c>
      <c r="F1197" s="1185">
        <v>4</v>
      </c>
      <c r="G1197" s="1186">
        <v>10.6</v>
      </c>
      <c r="H1197" s="1186">
        <v>2.2999999999999998</v>
      </c>
      <c r="I1197" s="1186">
        <v>11.7</v>
      </c>
      <c r="J1197" s="1186">
        <v>2.4</v>
      </c>
      <c r="K1197" s="1186">
        <v>4.5999999999999996</v>
      </c>
      <c r="L1197" s="1186">
        <v>4.4000000000000004</v>
      </c>
      <c r="M1197" s="1186">
        <v>5.6</v>
      </c>
      <c r="N1197" s="1186">
        <v>4.8</v>
      </c>
      <c r="O1197" s="1186">
        <v>5.8</v>
      </c>
      <c r="P1197" s="1186">
        <v>6.5</v>
      </c>
      <c r="Q1197" s="1186">
        <v>11.4</v>
      </c>
      <c r="R1197" s="1186">
        <v>1.8</v>
      </c>
      <c r="S1197" s="1186">
        <v>4.4000000000000004</v>
      </c>
      <c r="T1197" s="1186">
        <v>2.9</v>
      </c>
      <c r="U1197" s="1186">
        <v>4.9000000000000004</v>
      </c>
      <c r="V1197" s="1186">
        <v>3.7</v>
      </c>
      <c r="W1197" s="1186"/>
      <c r="X1197" s="1186"/>
      <c r="Y1197" s="1186"/>
      <c r="Z1197" s="1186"/>
      <c r="AA1197" s="1186"/>
      <c r="AB1197" s="1186"/>
      <c r="AC1197" s="1186"/>
      <c r="AD1197" s="1187"/>
    </row>
    <row r="1198" spans="1:30" x14ac:dyDescent="0.2">
      <c r="A1198">
        <f t="shared" si="52"/>
        <v>32</v>
      </c>
      <c r="B1198">
        <v>1189</v>
      </c>
      <c r="C1198" s="1078">
        <v>2</v>
      </c>
      <c r="D1198" s="1077" t="s">
        <v>4530</v>
      </c>
      <c r="E1198" s="1077" t="s">
        <v>5593</v>
      </c>
      <c r="F1198" s="1185">
        <v>4</v>
      </c>
      <c r="G1198" s="1186">
        <v>4.6664820000000002</v>
      </c>
      <c r="H1198" s="1186">
        <v>2.3580000000000001</v>
      </c>
      <c r="I1198" s="1186">
        <v>5.4187576870835859</v>
      </c>
      <c r="J1198" s="1186">
        <v>2.5051428895352692</v>
      </c>
      <c r="K1198" s="1186">
        <v>2.3994827999999999</v>
      </c>
      <c r="L1198" s="1186">
        <v>3.8940000000000001</v>
      </c>
      <c r="M1198" s="1186">
        <v>2.8397779000000001</v>
      </c>
      <c r="N1198" s="1186">
        <v>4.8229999999999995</v>
      </c>
      <c r="O1198" s="1186">
        <v>2.7965339999999999</v>
      </c>
      <c r="P1198" s="1186">
        <v>6.63</v>
      </c>
      <c r="Q1198" s="1186">
        <v>4.7817440000000007</v>
      </c>
      <c r="R1198" s="1186">
        <v>1.798</v>
      </c>
      <c r="S1198" s="1186">
        <v>2.1887999999999996</v>
      </c>
      <c r="T1198" s="1186">
        <v>2.2799999999999998</v>
      </c>
      <c r="U1198" s="1186">
        <v>2.5984529999999997</v>
      </c>
      <c r="V1198" s="1186">
        <v>3.51</v>
      </c>
      <c r="W1198" s="1186"/>
      <c r="X1198" s="1186"/>
      <c r="Y1198" s="1186"/>
      <c r="Z1198" s="1186"/>
      <c r="AA1198" s="1186"/>
      <c r="AB1198" s="1186"/>
      <c r="AC1198" s="1186"/>
      <c r="AD1198" s="1187"/>
    </row>
    <row r="1199" spans="1:30" x14ac:dyDescent="0.2">
      <c r="A1199">
        <f t="shared" si="52"/>
        <v>32</v>
      </c>
      <c r="B1199">
        <v>1190</v>
      </c>
      <c r="C1199" s="1078">
        <v>2</v>
      </c>
      <c r="D1199" s="1077" t="s">
        <v>4530</v>
      </c>
      <c r="E1199" s="1077" t="s">
        <v>5327</v>
      </c>
      <c r="F1199" s="1185">
        <v>4</v>
      </c>
      <c r="G1199" s="1186">
        <v>5.8264080000000007</v>
      </c>
      <c r="H1199" s="1186">
        <v>2.2120000000000002</v>
      </c>
      <c r="I1199" s="1186">
        <v>6.7052413345894148</v>
      </c>
      <c r="J1199" s="1186">
        <v>2.351227036898357</v>
      </c>
      <c r="K1199" s="1186">
        <v>2.8608949158282502</v>
      </c>
      <c r="L1199" s="1186">
        <v>4.0401774078530952</v>
      </c>
      <c r="M1199" s="1186">
        <v>2.8397779000000001</v>
      </c>
      <c r="N1199" s="1186">
        <v>4.8229999999999995</v>
      </c>
      <c r="O1199" s="1186">
        <v>3.5017450000000001</v>
      </c>
      <c r="P1199" s="1186">
        <v>6.3380000000000001</v>
      </c>
      <c r="Q1199" s="1186">
        <v>5.0279520000000009</v>
      </c>
      <c r="R1199" s="1186">
        <v>1.841</v>
      </c>
      <c r="S1199" s="1186">
        <v>2.1887999999999996</v>
      </c>
      <c r="T1199" s="1186">
        <v>2.2799999999999998</v>
      </c>
      <c r="U1199" s="1186">
        <v>3.2836041000000002</v>
      </c>
      <c r="V1199" s="1186">
        <v>3.5070000000000001</v>
      </c>
      <c r="W1199" s="1186"/>
      <c r="X1199" s="1186"/>
      <c r="Y1199" s="1186"/>
      <c r="Z1199" s="1186"/>
      <c r="AA1199" s="1186"/>
      <c r="AB1199" s="1186"/>
      <c r="AC1199" s="1186"/>
      <c r="AD1199" s="1187"/>
    </row>
    <row r="1200" spans="1:30" x14ac:dyDescent="0.2">
      <c r="A1200">
        <f t="shared" si="52"/>
        <v>32</v>
      </c>
      <c r="B1200">
        <v>1191</v>
      </c>
      <c r="C1200" s="1078">
        <v>2</v>
      </c>
      <c r="D1200" s="1077" t="s">
        <v>4530</v>
      </c>
      <c r="E1200" s="1077" t="s">
        <v>5328</v>
      </c>
      <c r="F1200" s="1185">
        <v>4</v>
      </c>
      <c r="G1200" s="1186">
        <v>8.8000000000000007</v>
      </c>
      <c r="H1200" s="1186">
        <v>2.5</v>
      </c>
      <c r="I1200" s="1186">
        <v>9.8000000000000007</v>
      </c>
      <c r="J1200" s="1186">
        <v>2.6</v>
      </c>
      <c r="K1200" s="1186">
        <v>4.5999999999999996</v>
      </c>
      <c r="L1200" s="1186">
        <v>4.4000000000000004</v>
      </c>
      <c r="M1200" s="1186">
        <v>5.6</v>
      </c>
      <c r="N1200" s="1186">
        <v>4.8</v>
      </c>
      <c r="O1200" s="1186">
        <v>5.2</v>
      </c>
      <c r="P1200" s="1186">
        <v>6.7</v>
      </c>
      <c r="Q1200" s="1186">
        <v>9.5</v>
      </c>
      <c r="R1200" s="1186">
        <v>1.9</v>
      </c>
      <c r="S1200" s="1186">
        <v>4.4000000000000004</v>
      </c>
      <c r="T1200" s="1186">
        <v>2.9</v>
      </c>
      <c r="U1200" s="1186">
        <v>4.4000000000000004</v>
      </c>
      <c r="V1200" s="1186">
        <v>3.8</v>
      </c>
      <c r="W1200" s="1186"/>
      <c r="X1200" s="1186"/>
      <c r="Y1200" s="1186"/>
      <c r="Z1200" s="1186"/>
      <c r="AA1200" s="1186"/>
      <c r="AB1200" s="1186"/>
      <c r="AC1200" s="1186"/>
      <c r="AD1200" s="1187"/>
    </row>
    <row r="1201" spans="1:30" x14ac:dyDescent="0.2">
      <c r="A1201">
        <f t="shared" si="52"/>
        <v>32</v>
      </c>
      <c r="B1201">
        <v>1192</v>
      </c>
      <c r="C1201" s="1078">
        <v>2</v>
      </c>
      <c r="D1201" s="1077" t="s">
        <v>4530</v>
      </c>
      <c r="E1201" s="1077" t="s">
        <v>5329</v>
      </c>
      <c r="F1201" s="1185">
        <v>4</v>
      </c>
      <c r="G1201" s="1186">
        <v>10.6</v>
      </c>
      <c r="H1201" s="1186">
        <v>2.2999999999999998</v>
      </c>
      <c r="I1201" s="1186">
        <v>11.7</v>
      </c>
      <c r="J1201" s="1186">
        <v>2.4</v>
      </c>
      <c r="K1201" s="1186">
        <v>4.5999999999999996</v>
      </c>
      <c r="L1201" s="1186">
        <v>4.4000000000000004</v>
      </c>
      <c r="M1201" s="1186">
        <v>5.6</v>
      </c>
      <c r="N1201" s="1186">
        <v>4.8</v>
      </c>
      <c r="O1201" s="1186">
        <v>5.8</v>
      </c>
      <c r="P1201" s="1186">
        <v>6.5</v>
      </c>
      <c r="Q1201" s="1186">
        <v>11.4</v>
      </c>
      <c r="R1201" s="1186">
        <v>1.8</v>
      </c>
      <c r="S1201" s="1186">
        <v>4.4000000000000004</v>
      </c>
      <c r="T1201" s="1186">
        <v>2.9</v>
      </c>
      <c r="U1201" s="1186">
        <v>4.9000000000000004</v>
      </c>
      <c r="V1201" s="1186">
        <v>3.7</v>
      </c>
      <c r="W1201" s="1186"/>
      <c r="X1201" s="1186"/>
      <c r="Y1201" s="1186"/>
      <c r="Z1201" s="1186"/>
      <c r="AA1201" s="1186"/>
      <c r="AB1201" s="1186"/>
      <c r="AC1201" s="1186"/>
      <c r="AD1201" s="1187"/>
    </row>
    <row r="1202" spans="1:30" x14ac:dyDescent="0.2">
      <c r="A1202">
        <f t="shared" si="52"/>
        <v>32</v>
      </c>
      <c r="B1202">
        <v>1193</v>
      </c>
      <c r="C1202" s="1078">
        <v>2</v>
      </c>
      <c r="D1202" s="1077" t="s">
        <v>4530</v>
      </c>
      <c r="E1202" s="1077" t="s">
        <v>5135</v>
      </c>
      <c r="F1202" s="1185">
        <v>4</v>
      </c>
      <c r="G1202" s="1186">
        <v>10</v>
      </c>
      <c r="H1202" s="1186">
        <v>2.6</v>
      </c>
      <c r="I1202" s="1186">
        <v>10</v>
      </c>
      <c r="J1202" s="1186">
        <v>3.05</v>
      </c>
      <c r="K1202" s="1186">
        <v>10</v>
      </c>
      <c r="L1202" s="1186">
        <v>3.45</v>
      </c>
      <c r="M1202" s="1186">
        <v>8</v>
      </c>
      <c r="N1202" s="1186">
        <v>5</v>
      </c>
      <c r="O1202" s="1186">
        <v>8</v>
      </c>
      <c r="P1202" s="1186">
        <v>7.1</v>
      </c>
      <c r="Q1202" s="1186">
        <v>10</v>
      </c>
      <c r="R1202" s="1186">
        <v>2</v>
      </c>
      <c r="S1202" s="1186">
        <v>8</v>
      </c>
      <c r="T1202" s="1186">
        <v>2.6</v>
      </c>
      <c r="U1202" s="1186">
        <v>8</v>
      </c>
      <c r="V1202" s="1186">
        <v>3.85</v>
      </c>
      <c r="W1202" s="1186"/>
      <c r="X1202" s="1186"/>
      <c r="Y1202" s="1186"/>
      <c r="Z1202" s="1186"/>
      <c r="AA1202" s="1186"/>
      <c r="AB1202" s="1186"/>
      <c r="AC1202" s="1186"/>
      <c r="AD1202" s="1187"/>
    </row>
    <row r="1203" spans="1:30" x14ac:dyDescent="0.2">
      <c r="A1203">
        <f t="shared" si="52"/>
        <v>32</v>
      </c>
      <c r="B1203">
        <v>1194</v>
      </c>
      <c r="C1203" s="1078">
        <v>2</v>
      </c>
      <c r="D1203" s="1077" t="s">
        <v>4530</v>
      </c>
      <c r="E1203" s="1077" t="s">
        <v>5136</v>
      </c>
      <c r="F1203" s="1185">
        <v>4</v>
      </c>
      <c r="G1203" s="1186">
        <v>12</v>
      </c>
      <c r="H1203" s="1186">
        <v>2.4500000000000002</v>
      </c>
      <c r="I1203" s="1186">
        <v>12</v>
      </c>
      <c r="J1203" s="1186">
        <v>2.85</v>
      </c>
      <c r="K1203" s="1186">
        <v>12</v>
      </c>
      <c r="L1203" s="1186">
        <v>3.3</v>
      </c>
      <c r="M1203" s="1186">
        <v>10</v>
      </c>
      <c r="N1203" s="1186">
        <v>4.8</v>
      </c>
      <c r="O1203" s="1186">
        <v>10</v>
      </c>
      <c r="P1203" s="1186">
        <v>7</v>
      </c>
      <c r="Q1203" s="1186">
        <v>12</v>
      </c>
      <c r="R1203" s="1186">
        <v>2</v>
      </c>
      <c r="S1203" s="1186">
        <v>12</v>
      </c>
      <c r="T1203" s="1186">
        <v>2.65</v>
      </c>
      <c r="U1203" s="1186">
        <v>10</v>
      </c>
      <c r="V1203" s="1186">
        <v>3.8</v>
      </c>
      <c r="W1203" s="1186"/>
      <c r="X1203" s="1186"/>
      <c r="Y1203" s="1186"/>
      <c r="Z1203" s="1186"/>
      <c r="AA1203" s="1186"/>
      <c r="AB1203" s="1186"/>
      <c r="AC1203" s="1186"/>
      <c r="AD1203" s="1187"/>
    </row>
    <row r="1204" spans="1:30" x14ac:dyDescent="0.2">
      <c r="A1204">
        <f t="shared" si="52"/>
        <v>32</v>
      </c>
      <c r="B1204">
        <v>1195</v>
      </c>
      <c r="C1204" s="1078">
        <v>2</v>
      </c>
      <c r="D1204" s="1077" t="s">
        <v>4530</v>
      </c>
      <c r="E1204" s="1077" t="s">
        <v>5137</v>
      </c>
      <c r="F1204" s="1185">
        <v>4</v>
      </c>
      <c r="G1204" s="1186">
        <v>14</v>
      </c>
      <c r="H1204" s="1186">
        <v>2.15</v>
      </c>
      <c r="I1204" s="1186">
        <v>14</v>
      </c>
      <c r="J1204" s="1186">
        <v>2.7</v>
      </c>
      <c r="K1204" s="1186">
        <v>14</v>
      </c>
      <c r="L1204" s="1186">
        <v>3.05</v>
      </c>
      <c r="M1204" s="1186">
        <v>12</v>
      </c>
      <c r="N1204" s="1186">
        <v>4.7</v>
      </c>
      <c r="O1204" s="1186">
        <v>12</v>
      </c>
      <c r="P1204" s="1186">
        <v>6.7</v>
      </c>
      <c r="Q1204" s="1186">
        <v>14</v>
      </c>
      <c r="R1204" s="1186">
        <v>1.87</v>
      </c>
      <c r="S1204" s="1186">
        <v>12</v>
      </c>
      <c r="T1204" s="1186">
        <v>2.4500000000000002</v>
      </c>
      <c r="U1204" s="1186">
        <v>12</v>
      </c>
      <c r="V1204" s="1186">
        <v>3.7</v>
      </c>
      <c r="W1204" s="1186"/>
      <c r="X1204" s="1186"/>
      <c r="Y1204" s="1186"/>
      <c r="Z1204" s="1186"/>
      <c r="AA1204" s="1186"/>
      <c r="AB1204" s="1186"/>
      <c r="AC1204" s="1186"/>
      <c r="AD1204" s="1187"/>
    </row>
    <row r="1205" spans="1:30" x14ac:dyDescent="0.2">
      <c r="A1205">
        <f t="shared" si="52"/>
        <v>32</v>
      </c>
      <c r="B1205">
        <v>1196</v>
      </c>
      <c r="C1205" s="1078">
        <v>2</v>
      </c>
      <c r="D1205" s="1077" t="s">
        <v>4530</v>
      </c>
      <c r="E1205" s="1077" t="s">
        <v>5138</v>
      </c>
      <c r="F1205" s="1185">
        <v>4</v>
      </c>
      <c r="G1205" s="1186">
        <v>6</v>
      </c>
      <c r="H1205" s="1186">
        <v>2.66</v>
      </c>
      <c r="I1205" s="1186">
        <v>6</v>
      </c>
      <c r="J1205" s="1186">
        <v>3.15</v>
      </c>
      <c r="K1205" s="1186">
        <v>6</v>
      </c>
      <c r="L1205" s="1186">
        <v>3.8</v>
      </c>
      <c r="M1205" s="1186">
        <v>5</v>
      </c>
      <c r="N1205" s="1186">
        <v>4.3499999999999996</v>
      </c>
      <c r="O1205" s="1186">
        <v>5</v>
      </c>
      <c r="P1205" s="1186">
        <v>6.75</v>
      </c>
      <c r="Q1205" s="1186">
        <v>6</v>
      </c>
      <c r="R1205" s="1186">
        <v>2</v>
      </c>
      <c r="S1205" s="1186">
        <v>5</v>
      </c>
      <c r="T1205" s="1186">
        <v>2.65</v>
      </c>
      <c r="U1205" s="1186">
        <v>5</v>
      </c>
      <c r="V1205" s="1186">
        <v>3.75</v>
      </c>
      <c r="W1205" s="1186"/>
      <c r="X1205" s="1186"/>
      <c r="Y1205" s="1186"/>
      <c r="Z1205" s="1186"/>
      <c r="AA1205" s="1186"/>
      <c r="AB1205" s="1186"/>
      <c r="AC1205" s="1186"/>
      <c r="AD1205" s="1187"/>
    </row>
    <row r="1206" spans="1:30" x14ac:dyDescent="0.2">
      <c r="A1206">
        <f t="shared" si="52"/>
        <v>32</v>
      </c>
      <c r="B1206">
        <v>1197</v>
      </c>
      <c r="C1206" s="1078">
        <v>2</v>
      </c>
      <c r="D1206" s="1077" t="s">
        <v>4530</v>
      </c>
      <c r="E1206" s="1077" t="s">
        <v>5139</v>
      </c>
      <c r="F1206" s="1185">
        <v>4</v>
      </c>
      <c r="G1206" s="1186">
        <v>8</v>
      </c>
      <c r="H1206" s="1186">
        <v>2.66</v>
      </c>
      <c r="I1206" s="1186">
        <v>8</v>
      </c>
      <c r="J1206" s="1186">
        <v>2.8</v>
      </c>
      <c r="K1206" s="1186">
        <v>8</v>
      </c>
      <c r="L1206" s="1186">
        <v>3.3</v>
      </c>
      <c r="M1206" s="1186">
        <v>6</v>
      </c>
      <c r="N1206" s="1186">
        <v>4.3499999999999996</v>
      </c>
      <c r="O1206" s="1186">
        <v>6</v>
      </c>
      <c r="P1206" s="1186">
        <v>6.05</v>
      </c>
      <c r="Q1206" s="1186">
        <v>8</v>
      </c>
      <c r="R1206" s="1186">
        <v>2.0499999999999998</v>
      </c>
      <c r="S1206" s="1186">
        <v>6</v>
      </c>
      <c r="T1206" s="1186">
        <v>2.65</v>
      </c>
      <c r="U1206" s="1186">
        <v>6</v>
      </c>
      <c r="V1206" s="1186">
        <v>3.75</v>
      </c>
      <c r="W1206" s="1186"/>
      <c r="X1206" s="1186"/>
      <c r="Y1206" s="1186"/>
      <c r="Z1206" s="1186"/>
      <c r="AA1206" s="1186"/>
      <c r="AB1206" s="1186"/>
      <c r="AC1206" s="1186"/>
      <c r="AD1206" s="1187"/>
    </row>
    <row r="1207" spans="1:30" x14ac:dyDescent="0.2">
      <c r="A1207">
        <f t="shared" si="52"/>
        <v>32</v>
      </c>
      <c r="B1207">
        <v>1198</v>
      </c>
      <c r="C1207" s="1078">
        <v>2</v>
      </c>
      <c r="D1207" s="1077" t="s">
        <v>4530</v>
      </c>
      <c r="E1207" s="1077" t="s">
        <v>5140</v>
      </c>
      <c r="F1207" s="1185">
        <v>4</v>
      </c>
      <c r="G1207" s="1186">
        <v>8.4</v>
      </c>
      <c r="H1207" s="1186">
        <v>2.5499999999999998</v>
      </c>
      <c r="I1207" s="1186">
        <v>11.2</v>
      </c>
      <c r="J1207" s="1186">
        <v>3</v>
      </c>
      <c r="K1207" s="1186">
        <v>11.2</v>
      </c>
      <c r="L1207" s="1186">
        <v>3.44</v>
      </c>
      <c r="M1207" s="1186">
        <v>11.2</v>
      </c>
      <c r="N1207" s="1186">
        <v>4.7</v>
      </c>
      <c r="O1207" s="1186">
        <v>11.2</v>
      </c>
      <c r="P1207" s="1186">
        <v>8.65</v>
      </c>
      <c r="Q1207" s="1186">
        <v>10</v>
      </c>
      <c r="R1207" s="1186">
        <v>1.9</v>
      </c>
      <c r="S1207" s="1186">
        <v>10</v>
      </c>
      <c r="T1207" s="1186">
        <v>3</v>
      </c>
      <c r="U1207" s="1186">
        <v>10</v>
      </c>
      <c r="V1207" s="1186">
        <v>4.75</v>
      </c>
      <c r="W1207" s="1186"/>
      <c r="X1207" s="1186"/>
      <c r="Y1207" s="1186"/>
      <c r="Z1207" s="1186"/>
      <c r="AA1207" s="1186"/>
      <c r="AB1207" s="1186"/>
      <c r="AC1207" s="1186"/>
      <c r="AD1207" s="1187"/>
    </row>
    <row r="1208" spans="1:30" x14ac:dyDescent="0.2">
      <c r="A1208">
        <f t="shared" si="52"/>
        <v>32</v>
      </c>
      <c r="B1208">
        <v>1199</v>
      </c>
      <c r="C1208" s="1078">
        <v>2</v>
      </c>
      <c r="D1208" s="1077" t="s">
        <v>4530</v>
      </c>
      <c r="E1208" s="1077" t="s">
        <v>5141</v>
      </c>
      <c r="F1208" s="1185">
        <v>4</v>
      </c>
      <c r="G1208" s="1186">
        <v>5.3</v>
      </c>
      <c r="H1208" s="1186">
        <v>2.7</v>
      </c>
      <c r="I1208" s="1186">
        <v>6</v>
      </c>
      <c r="J1208" s="1186">
        <v>3.2</v>
      </c>
      <c r="K1208" s="1186">
        <v>6</v>
      </c>
      <c r="L1208" s="1186">
        <v>3.75</v>
      </c>
      <c r="M1208" s="1186">
        <v>6</v>
      </c>
      <c r="N1208" s="1186">
        <v>5.0599999999999996</v>
      </c>
      <c r="O1208" s="1186">
        <v>6</v>
      </c>
      <c r="P1208" s="1186">
        <v>7.85</v>
      </c>
      <c r="Q1208" s="1186">
        <v>6</v>
      </c>
      <c r="R1208" s="1186">
        <v>2.0499999999999998</v>
      </c>
      <c r="S1208" s="1186">
        <v>6</v>
      </c>
      <c r="T1208" s="1186">
        <v>3</v>
      </c>
      <c r="U1208" s="1186">
        <v>6</v>
      </c>
      <c r="V1208" s="1186">
        <v>4</v>
      </c>
      <c r="W1208" s="1186"/>
      <c r="X1208" s="1186"/>
      <c r="Y1208" s="1186"/>
      <c r="Z1208" s="1186"/>
      <c r="AA1208" s="1186"/>
      <c r="AB1208" s="1186"/>
      <c r="AC1208" s="1186"/>
      <c r="AD1208" s="1187"/>
    </row>
    <row r="1209" spans="1:30" x14ac:dyDescent="0.2">
      <c r="A1209">
        <f t="shared" si="52"/>
        <v>32</v>
      </c>
      <c r="B1209">
        <v>1200</v>
      </c>
      <c r="C1209" s="1078">
        <v>2</v>
      </c>
      <c r="D1209" s="1077" t="s">
        <v>4530</v>
      </c>
      <c r="E1209" s="1077" t="s">
        <v>5142</v>
      </c>
      <c r="F1209" s="1185">
        <v>4</v>
      </c>
      <c r="G1209" s="1186">
        <v>7.3</v>
      </c>
      <c r="H1209" s="1186">
        <v>2.15</v>
      </c>
      <c r="I1209" s="1186">
        <v>8.5</v>
      </c>
      <c r="J1209" s="1186">
        <v>2.6</v>
      </c>
      <c r="K1209" s="1186">
        <v>8.5</v>
      </c>
      <c r="L1209" s="1186">
        <v>3.51</v>
      </c>
      <c r="M1209" s="1186">
        <v>8.5</v>
      </c>
      <c r="N1209" s="1186">
        <v>4.8</v>
      </c>
      <c r="O1209" s="1186">
        <v>8</v>
      </c>
      <c r="P1209" s="1186">
        <v>7.45</v>
      </c>
      <c r="Q1209" s="1186">
        <v>8</v>
      </c>
      <c r="R1209" s="1186">
        <v>1.9</v>
      </c>
      <c r="S1209" s="1186">
        <v>8.5</v>
      </c>
      <c r="T1209" s="1186">
        <v>2.82</v>
      </c>
      <c r="U1209" s="1186">
        <v>8.5</v>
      </c>
      <c r="V1209" s="1186">
        <v>3.75</v>
      </c>
      <c r="W1209" s="1186"/>
      <c r="X1209" s="1186"/>
      <c r="Y1209" s="1186"/>
      <c r="Z1209" s="1186"/>
      <c r="AA1209" s="1186"/>
      <c r="AB1209" s="1186"/>
      <c r="AC1209" s="1186"/>
      <c r="AD1209" s="1187"/>
    </row>
    <row r="1210" spans="1:30" x14ac:dyDescent="0.2">
      <c r="A1210">
        <f t="shared" si="52"/>
        <v>32</v>
      </c>
      <c r="B1210">
        <v>1201</v>
      </c>
      <c r="C1210" s="1078">
        <v>2</v>
      </c>
      <c r="D1210" s="1077" t="s">
        <v>4530</v>
      </c>
      <c r="E1210" s="1077" t="s">
        <v>5594</v>
      </c>
      <c r="F1210" s="1185">
        <v>4</v>
      </c>
      <c r="G1210" s="1186">
        <v>6</v>
      </c>
      <c r="H1210" s="1186">
        <v>2.7</v>
      </c>
      <c r="I1210" s="1186">
        <v>6</v>
      </c>
      <c r="J1210" s="1186">
        <v>3.2</v>
      </c>
      <c r="K1210" s="1186">
        <v>6</v>
      </c>
      <c r="L1210" s="1186">
        <v>3.85</v>
      </c>
      <c r="M1210" s="1186">
        <v>6</v>
      </c>
      <c r="N1210" s="1186">
        <v>5.08</v>
      </c>
      <c r="O1210" s="1186">
        <v>5</v>
      </c>
      <c r="P1210" s="1186">
        <v>6.86</v>
      </c>
      <c r="Q1210" s="1186">
        <v>5.5</v>
      </c>
      <c r="R1210" s="1186">
        <v>1.98</v>
      </c>
      <c r="S1210" s="1186">
        <v>5</v>
      </c>
      <c r="T1210" s="1186">
        <v>2.4500000000000002</v>
      </c>
      <c r="U1210" s="1186">
        <v>5</v>
      </c>
      <c r="V1210" s="1186">
        <v>3.8</v>
      </c>
      <c r="W1210" s="1186"/>
      <c r="X1210" s="1186"/>
      <c r="Y1210" s="1186"/>
      <c r="Z1210" s="1186"/>
      <c r="AA1210" s="1186"/>
      <c r="AB1210" s="1186"/>
      <c r="AC1210" s="1186"/>
      <c r="AD1210" s="1187"/>
    </row>
    <row r="1211" spans="1:30" x14ac:dyDescent="0.2">
      <c r="A1211">
        <f t="shared" si="52"/>
        <v>32</v>
      </c>
      <c r="B1211">
        <v>1202</v>
      </c>
      <c r="C1211" s="1078">
        <v>2</v>
      </c>
      <c r="D1211" s="1077" t="s">
        <v>4530</v>
      </c>
      <c r="E1211" s="1077" t="s">
        <v>5595</v>
      </c>
      <c r="F1211" s="1185">
        <v>4</v>
      </c>
      <c r="G1211" s="1186">
        <v>8</v>
      </c>
      <c r="H1211" s="1186">
        <v>2.7</v>
      </c>
      <c r="I1211" s="1186">
        <v>8</v>
      </c>
      <c r="J1211" s="1186">
        <v>3.18</v>
      </c>
      <c r="K1211" s="1186">
        <v>8</v>
      </c>
      <c r="L1211" s="1186">
        <v>3.8</v>
      </c>
      <c r="M1211" s="1186">
        <v>8</v>
      </c>
      <c r="N1211" s="1186">
        <v>5.05</v>
      </c>
      <c r="O1211" s="1186">
        <v>6</v>
      </c>
      <c r="P1211" s="1186">
        <v>7</v>
      </c>
      <c r="Q1211" s="1186">
        <v>7.9</v>
      </c>
      <c r="R1211" s="1186">
        <v>1.99</v>
      </c>
      <c r="S1211" s="1186">
        <v>6</v>
      </c>
      <c r="T1211" s="1186">
        <v>2.5</v>
      </c>
      <c r="U1211" s="1186">
        <v>6</v>
      </c>
      <c r="V1211" s="1186">
        <v>3.8</v>
      </c>
      <c r="W1211" s="1186"/>
      <c r="X1211" s="1186"/>
      <c r="Y1211" s="1186"/>
      <c r="Z1211" s="1186"/>
      <c r="AA1211" s="1186"/>
      <c r="AB1211" s="1186"/>
      <c r="AC1211" s="1186"/>
      <c r="AD1211" s="1187"/>
    </row>
    <row r="1212" spans="1:30" x14ac:dyDescent="0.2">
      <c r="A1212">
        <f t="shared" si="52"/>
        <v>32</v>
      </c>
      <c r="B1212">
        <v>1203</v>
      </c>
      <c r="C1212" s="1078">
        <v>2</v>
      </c>
      <c r="D1212" s="1077" t="s">
        <v>4530</v>
      </c>
      <c r="E1212" s="1077" t="s">
        <v>5596</v>
      </c>
      <c r="F1212" s="1185">
        <v>4</v>
      </c>
      <c r="G1212" s="1186">
        <v>10</v>
      </c>
      <c r="H1212" s="1186">
        <v>2.64</v>
      </c>
      <c r="I1212" s="1186">
        <v>10</v>
      </c>
      <c r="J1212" s="1186">
        <v>3.07</v>
      </c>
      <c r="K1212" s="1186">
        <v>10</v>
      </c>
      <c r="L1212" s="1186">
        <v>3.55</v>
      </c>
      <c r="M1212" s="1186">
        <v>10</v>
      </c>
      <c r="N1212" s="1186">
        <v>5.05</v>
      </c>
      <c r="O1212" s="1186">
        <v>8</v>
      </c>
      <c r="P1212" s="1186">
        <v>8.2100000000000009</v>
      </c>
      <c r="Q1212" s="1186">
        <v>10</v>
      </c>
      <c r="R1212" s="1186">
        <v>2.0299999999999998</v>
      </c>
      <c r="S1212" s="1186">
        <v>8</v>
      </c>
      <c r="T1212" s="1186">
        <v>2.7</v>
      </c>
      <c r="U1212" s="1186">
        <v>8</v>
      </c>
      <c r="V1212" s="1186">
        <v>3.9</v>
      </c>
      <c r="W1212" s="1186"/>
      <c r="X1212" s="1186"/>
      <c r="Y1212" s="1186"/>
      <c r="Z1212" s="1186"/>
      <c r="AA1212" s="1186"/>
      <c r="AB1212" s="1186"/>
      <c r="AC1212" s="1186"/>
      <c r="AD1212" s="1187"/>
    </row>
    <row r="1213" spans="1:30" x14ac:dyDescent="0.2">
      <c r="A1213">
        <f t="shared" si="52"/>
        <v>32</v>
      </c>
      <c r="B1213">
        <v>1204</v>
      </c>
      <c r="C1213" s="1078">
        <v>2</v>
      </c>
      <c r="D1213" s="1077" t="s">
        <v>4530</v>
      </c>
      <c r="E1213" s="1077" t="s">
        <v>5597</v>
      </c>
      <c r="F1213" s="1185">
        <v>4</v>
      </c>
      <c r="G1213" s="1186">
        <v>12</v>
      </c>
      <c r="H1213" s="1186">
        <v>2.4500000000000002</v>
      </c>
      <c r="I1213" s="1186">
        <v>12</v>
      </c>
      <c r="J1213" s="1186">
        <v>2.9</v>
      </c>
      <c r="K1213" s="1186">
        <v>12</v>
      </c>
      <c r="L1213" s="1186">
        <v>3.35</v>
      </c>
      <c r="M1213" s="1186">
        <v>12</v>
      </c>
      <c r="N1213" s="1186">
        <v>4.9000000000000004</v>
      </c>
      <c r="O1213" s="1186">
        <v>10</v>
      </c>
      <c r="P1213" s="1186">
        <v>7.14</v>
      </c>
      <c r="Q1213" s="1186">
        <v>12</v>
      </c>
      <c r="R1213" s="1186">
        <v>1.94</v>
      </c>
      <c r="S1213" s="1186">
        <v>10</v>
      </c>
      <c r="T1213" s="1186">
        <v>2.7</v>
      </c>
      <c r="U1213" s="1186">
        <v>10</v>
      </c>
      <c r="V1213" s="1186">
        <v>3.85</v>
      </c>
      <c r="W1213" s="1186"/>
      <c r="X1213" s="1186"/>
      <c r="Y1213" s="1186"/>
      <c r="Z1213" s="1186"/>
      <c r="AA1213" s="1186"/>
      <c r="AB1213" s="1186"/>
      <c r="AC1213" s="1186"/>
      <c r="AD1213" s="1187"/>
    </row>
    <row r="1214" spans="1:30" x14ac:dyDescent="0.2">
      <c r="A1214">
        <f t="shared" si="52"/>
        <v>32</v>
      </c>
      <c r="B1214">
        <v>1205</v>
      </c>
      <c r="C1214" s="1078">
        <v>2</v>
      </c>
      <c r="D1214" s="1077" t="s">
        <v>4530</v>
      </c>
      <c r="E1214" s="1077" t="s">
        <v>5598</v>
      </c>
      <c r="F1214" s="1185">
        <v>4</v>
      </c>
      <c r="G1214" s="1186">
        <v>14</v>
      </c>
      <c r="H1214" s="1186">
        <v>2.19</v>
      </c>
      <c r="I1214" s="1186">
        <v>14</v>
      </c>
      <c r="J1214" s="1186">
        <v>2.77</v>
      </c>
      <c r="K1214" s="1186">
        <v>14</v>
      </c>
      <c r="L1214" s="1186">
        <v>3.3</v>
      </c>
      <c r="M1214" s="1186">
        <v>14</v>
      </c>
      <c r="N1214" s="1186">
        <v>4.8499999999999996</v>
      </c>
      <c r="O1214" s="1186">
        <v>12</v>
      </c>
      <c r="P1214" s="1186">
        <v>6.84</v>
      </c>
      <c r="Q1214" s="1186">
        <v>14</v>
      </c>
      <c r="R1214" s="1186">
        <v>1.92</v>
      </c>
      <c r="S1214" s="1186">
        <v>12</v>
      </c>
      <c r="T1214" s="1186">
        <v>2.7</v>
      </c>
      <c r="U1214" s="1186">
        <v>12</v>
      </c>
      <c r="V1214" s="1186">
        <v>3.75</v>
      </c>
      <c r="W1214" s="1186"/>
      <c r="X1214" s="1186"/>
      <c r="Y1214" s="1186"/>
      <c r="Z1214" s="1186"/>
      <c r="AA1214" s="1186"/>
      <c r="AB1214" s="1186"/>
      <c r="AC1214" s="1186"/>
      <c r="AD1214" s="1187"/>
    </row>
    <row r="1215" spans="1:30" x14ac:dyDescent="0.2">
      <c r="A1215">
        <f t="shared" si="52"/>
        <v>32</v>
      </c>
      <c r="B1215">
        <v>1206</v>
      </c>
      <c r="C1215" s="1078">
        <v>2</v>
      </c>
      <c r="D1215" s="1077" t="s">
        <v>4530</v>
      </c>
      <c r="E1215" s="1077" t="s">
        <v>5143</v>
      </c>
      <c r="F1215" s="1185">
        <v>1</v>
      </c>
      <c r="G1215" s="1186">
        <v>5.9</v>
      </c>
      <c r="H1215" s="1186">
        <v>2.2999999999999998</v>
      </c>
      <c r="I1215" s="1186">
        <v>7.3</v>
      </c>
      <c r="J1215" s="1186">
        <v>3.1</v>
      </c>
      <c r="K1215" s="1186">
        <v>9.5</v>
      </c>
      <c r="L1215" s="1186">
        <v>4</v>
      </c>
      <c r="M1215" s="1186">
        <v>11.3</v>
      </c>
      <c r="N1215" s="1186">
        <v>4.7</v>
      </c>
      <c r="O1215" s="1186">
        <v>13.6</v>
      </c>
      <c r="P1215" s="1186">
        <v>5.3</v>
      </c>
      <c r="Q1215" s="1186">
        <v>7.2</v>
      </c>
      <c r="R1215" s="1186">
        <v>1.9</v>
      </c>
      <c r="S1215" s="1186">
        <v>10</v>
      </c>
      <c r="T1215" s="1186">
        <v>3</v>
      </c>
      <c r="U1215" s="1186">
        <v>12.4</v>
      </c>
      <c r="V1215" s="1186">
        <v>3.3</v>
      </c>
      <c r="W1215" s="1186"/>
      <c r="X1215" s="1186"/>
      <c r="Y1215" s="1186"/>
      <c r="Z1215" s="1186"/>
      <c r="AA1215" s="1186"/>
      <c r="AB1215" s="1186"/>
      <c r="AC1215" s="1186"/>
      <c r="AD1215" s="1187"/>
    </row>
    <row r="1216" spans="1:30" x14ac:dyDescent="0.2">
      <c r="A1216">
        <f t="shared" si="52"/>
        <v>32</v>
      </c>
      <c r="B1216">
        <v>1207</v>
      </c>
      <c r="C1216" s="1078">
        <v>2</v>
      </c>
      <c r="D1216" s="1077" t="s">
        <v>4530</v>
      </c>
      <c r="E1216" s="1077" t="s">
        <v>5144</v>
      </c>
      <c r="F1216" s="1185">
        <v>2</v>
      </c>
      <c r="G1216" s="1186">
        <v>8.4</v>
      </c>
      <c r="H1216" s="1186">
        <v>2.1</v>
      </c>
      <c r="I1216" s="1186">
        <v>10.6</v>
      </c>
      <c r="J1216" s="1186">
        <v>3.2</v>
      </c>
      <c r="K1216" s="1186">
        <v>12.3</v>
      </c>
      <c r="L1216" s="1186">
        <v>3.8</v>
      </c>
      <c r="M1216" s="1186">
        <v>14.8</v>
      </c>
      <c r="N1216" s="1186">
        <v>4.8</v>
      </c>
      <c r="O1216" s="1186">
        <v>19.2</v>
      </c>
      <c r="P1216" s="1186">
        <v>6.4</v>
      </c>
      <c r="Q1216" s="1186">
        <v>10.5</v>
      </c>
      <c r="R1216" s="1186">
        <v>2.1</v>
      </c>
      <c r="S1216" s="1186">
        <v>14.5</v>
      </c>
      <c r="T1216" s="1186">
        <v>3</v>
      </c>
      <c r="U1216" s="1186">
        <v>18.399999999999999</v>
      </c>
      <c r="V1216" s="1186">
        <v>3.9</v>
      </c>
      <c r="W1216" s="1186"/>
      <c r="X1216" s="1186"/>
      <c r="Y1216" s="1186"/>
      <c r="Z1216" s="1186"/>
      <c r="AA1216" s="1186"/>
      <c r="AB1216" s="1186"/>
      <c r="AC1216" s="1186"/>
      <c r="AD1216" s="1187"/>
    </row>
    <row r="1217" spans="1:30" x14ac:dyDescent="0.2">
      <c r="A1217">
        <f t="shared" si="52"/>
        <v>32</v>
      </c>
      <c r="B1217">
        <v>1208</v>
      </c>
      <c r="C1217" s="1078">
        <v>2</v>
      </c>
      <c r="D1217" s="1077" t="s">
        <v>4530</v>
      </c>
      <c r="E1217" s="1077" t="s">
        <v>5145</v>
      </c>
      <c r="F1217" s="1185">
        <v>1</v>
      </c>
      <c r="G1217" s="1186">
        <v>4.3</v>
      </c>
      <c r="H1217" s="1186">
        <v>2.6</v>
      </c>
      <c r="I1217" s="1186">
        <v>5.5</v>
      </c>
      <c r="J1217" s="1186">
        <v>3.2</v>
      </c>
      <c r="K1217" s="1186">
        <v>7.2</v>
      </c>
      <c r="L1217" s="1186">
        <v>4.2</v>
      </c>
      <c r="M1217" s="1186">
        <v>8.4</v>
      </c>
      <c r="N1217" s="1186">
        <v>4.8</v>
      </c>
      <c r="O1217" s="1186">
        <v>11.3</v>
      </c>
      <c r="P1217" s="1186">
        <v>6.7</v>
      </c>
      <c r="Q1217" s="1186">
        <v>5.3</v>
      </c>
      <c r="R1217" s="1186">
        <v>2.1</v>
      </c>
      <c r="S1217" s="1186">
        <v>8</v>
      </c>
      <c r="T1217" s="1186">
        <v>3.1</v>
      </c>
      <c r="U1217" s="1186">
        <v>9.5</v>
      </c>
      <c r="V1217" s="1186">
        <v>3.7</v>
      </c>
      <c r="W1217" s="1186"/>
      <c r="X1217" s="1186"/>
      <c r="Y1217" s="1186"/>
      <c r="Z1217" s="1186"/>
      <c r="AA1217" s="1186"/>
      <c r="AB1217" s="1186"/>
      <c r="AC1217" s="1186"/>
      <c r="AD1217" s="1187"/>
    </row>
    <row r="1218" spans="1:30" x14ac:dyDescent="0.2">
      <c r="A1218">
        <f t="shared" si="52"/>
        <v>32</v>
      </c>
      <c r="B1218">
        <v>1209</v>
      </c>
      <c r="C1218" s="1078">
        <v>3</v>
      </c>
      <c r="D1218" s="1077" t="s">
        <v>4530</v>
      </c>
      <c r="E1218" s="1077" t="s">
        <v>5146</v>
      </c>
      <c r="F1218" s="1185">
        <v>4</v>
      </c>
      <c r="G1218" s="1186"/>
      <c r="H1218" s="1186"/>
      <c r="I1218" s="1186"/>
      <c r="J1218" s="1186"/>
      <c r="K1218" s="1186"/>
      <c r="L1218" s="1186"/>
      <c r="M1218" s="1186"/>
      <c r="N1218" s="1186"/>
      <c r="O1218" s="1186"/>
      <c r="P1218" s="1186"/>
      <c r="Q1218" s="1186"/>
      <c r="R1218" s="1186"/>
      <c r="S1218" s="1186"/>
      <c r="T1218" s="1186"/>
      <c r="U1218" s="1186"/>
      <c r="V1218" s="1186"/>
      <c r="W1218" s="1186">
        <v>44.6</v>
      </c>
      <c r="X1218" s="1186">
        <v>4.2</v>
      </c>
      <c r="Y1218" s="1186">
        <v>40.299999999999997</v>
      </c>
      <c r="Z1218" s="1186">
        <v>2.6</v>
      </c>
      <c r="AA1218" s="1186">
        <v>59.3</v>
      </c>
      <c r="AB1218" s="1186">
        <v>5.3</v>
      </c>
      <c r="AC1218" s="1186">
        <v>51.3</v>
      </c>
      <c r="AD1218" s="1187">
        <v>3.26</v>
      </c>
    </row>
    <row r="1219" spans="1:30" x14ac:dyDescent="0.2">
      <c r="A1219">
        <f t="shared" si="52"/>
        <v>32</v>
      </c>
      <c r="B1219">
        <v>1210</v>
      </c>
      <c r="C1219" s="1078">
        <v>3</v>
      </c>
      <c r="D1219" s="1077" t="s">
        <v>4530</v>
      </c>
      <c r="E1219" s="1077" t="s">
        <v>5147</v>
      </c>
      <c r="F1219" s="1185">
        <v>4</v>
      </c>
      <c r="G1219" s="1186"/>
      <c r="H1219" s="1186"/>
      <c r="I1219" s="1186"/>
      <c r="J1219" s="1186"/>
      <c r="K1219" s="1186"/>
      <c r="L1219" s="1186"/>
      <c r="M1219" s="1186"/>
      <c r="N1219" s="1186"/>
      <c r="O1219" s="1186"/>
      <c r="P1219" s="1186"/>
      <c r="Q1219" s="1186"/>
      <c r="R1219" s="1186"/>
      <c r="S1219" s="1186"/>
      <c r="T1219" s="1186"/>
      <c r="U1219" s="1186"/>
      <c r="V1219" s="1186"/>
      <c r="W1219" s="1186">
        <v>59.6</v>
      </c>
      <c r="X1219" s="1186">
        <v>4.2</v>
      </c>
      <c r="Y1219" s="1186">
        <v>54.2</v>
      </c>
      <c r="Z1219" s="1186">
        <v>2.63</v>
      </c>
      <c r="AA1219" s="1186">
        <v>79.599999999999994</v>
      </c>
      <c r="AB1219" s="1186">
        <v>5.42</v>
      </c>
      <c r="AC1219" s="1186">
        <v>69.400000000000006</v>
      </c>
      <c r="AD1219" s="1187">
        <v>3.34</v>
      </c>
    </row>
    <row r="1220" spans="1:30" x14ac:dyDescent="0.2">
      <c r="A1220">
        <f t="shared" si="52"/>
        <v>32</v>
      </c>
      <c r="B1220">
        <v>1211</v>
      </c>
      <c r="C1220" s="1078">
        <v>3</v>
      </c>
      <c r="D1220" s="1077" t="s">
        <v>4530</v>
      </c>
      <c r="E1220" s="1077" t="s">
        <v>5148</v>
      </c>
      <c r="F1220" s="1185">
        <v>4</v>
      </c>
      <c r="G1220" s="1186"/>
      <c r="H1220" s="1186"/>
      <c r="I1220" s="1186"/>
      <c r="J1220" s="1186"/>
      <c r="K1220" s="1186"/>
      <c r="L1220" s="1186"/>
      <c r="M1220" s="1186"/>
      <c r="N1220" s="1186"/>
      <c r="O1220" s="1186"/>
      <c r="P1220" s="1186"/>
      <c r="Q1220" s="1186"/>
      <c r="R1220" s="1186"/>
      <c r="S1220" s="1186"/>
      <c r="T1220" s="1186"/>
      <c r="U1220" s="1186"/>
      <c r="V1220" s="1186"/>
      <c r="W1220" s="1186">
        <v>10.9</v>
      </c>
      <c r="X1220" s="1186">
        <v>4.0999999999999996</v>
      </c>
      <c r="Y1220" s="1186">
        <v>10.199999999999999</v>
      </c>
      <c r="Z1220" s="1186">
        <v>2.65</v>
      </c>
      <c r="AA1220" s="1186">
        <v>11</v>
      </c>
      <c r="AB1220" s="1186">
        <v>5.4</v>
      </c>
      <c r="AC1220" s="1186">
        <v>10.8</v>
      </c>
      <c r="AD1220" s="1187">
        <v>3.27</v>
      </c>
    </row>
    <row r="1221" spans="1:30" x14ac:dyDescent="0.2">
      <c r="A1221">
        <f t="shared" si="52"/>
        <v>32</v>
      </c>
      <c r="B1221">
        <v>1212</v>
      </c>
      <c r="C1221" s="1078">
        <v>3</v>
      </c>
      <c r="D1221" s="1077" t="s">
        <v>4530</v>
      </c>
      <c r="E1221" s="1077" t="s">
        <v>5149</v>
      </c>
      <c r="F1221" s="1185">
        <v>4</v>
      </c>
      <c r="G1221" s="1186"/>
      <c r="H1221" s="1186"/>
      <c r="I1221" s="1186"/>
      <c r="J1221" s="1186"/>
      <c r="K1221" s="1186"/>
      <c r="L1221" s="1186"/>
      <c r="M1221" s="1186"/>
      <c r="N1221" s="1186"/>
      <c r="O1221" s="1186"/>
      <c r="P1221" s="1186"/>
      <c r="Q1221" s="1186"/>
      <c r="R1221" s="1186"/>
      <c r="S1221" s="1186"/>
      <c r="T1221" s="1186"/>
      <c r="U1221" s="1186"/>
      <c r="V1221" s="1186"/>
      <c r="W1221" s="1186">
        <v>86.7</v>
      </c>
      <c r="X1221" s="1186">
        <v>4.4000000000000004</v>
      </c>
      <c r="Y1221" s="1186">
        <v>80.2</v>
      </c>
      <c r="Z1221" s="1186">
        <v>2.7</v>
      </c>
      <c r="AA1221" s="1186">
        <v>117.8</v>
      </c>
      <c r="AB1221" s="1186">
        <v>5.5</v>
      </c>
      <c r="AC1221" s="1186">
        <v>102.1</v>
      </c>
      <c r="AD1221" s="1187">
        <v>3.42</v>
      </c>
    </row>
    <row r="1222" spans="1:30" x14ac:dyDescent="0.2">
      <c r="A1222">
        <f t="shared" si="52"/>
        <v>32</v>
      </c>
      <c r="B1222">
        <v>1213</v>
      </c>
      <c r="C1222" s="1078">
        <v>3</v>
      </c>
      <c r="D1222" s="1077" t="s">
        <v>4530</v>
      </c>
      <c r="E1222" s="1077" t="s">
        <v>5150</v>
      </c>
      <c r="F1222" s="1185">
        <v>4</v>
      </c>
      <c r="G1222" s="1186"/>
      <c r="H1222" s="1186"/>
      <c r="I1222" s="1186"/>
      <c r="J1222" s="1186"/>
      <c r="K1222" s="1186"/>
      <c r="L1222" s="1186"/>
      <c r="M1222" s="1186"/>
      <c r="N1222" s="1186"/>
      <c r="O1222" s="1186"/>
      <c r="P1222" s="1186"/>
      <c r="Q1222" s="1186"/>
      <c r="R1222" s="1186"/>
      <c r="S1222" s="1186"/>
      <c r="T1222" s="1186"/>
      <c r="U1222" s="1186"/>
      <c r="V1222" s="1186"/>
      <c r="W1222" s="1186">
        <v>16</v>
      </c>
      <c r="X1222" s="1186">
        <v>3.7</v>
      </c>
      <c r="Y1222" s="1186">
        <v>12.8</v>
      </c>
      <c r="Z1222" s="1186">
        <v>2.7</v>
      </c>
      <c r="AA1222" s="1186">
        <v>16</v>
      </c>
      <c r="AB1222" s="1186">
        <v>5.3</v>
      </c>
      <c r="AC1222" s="1186">
        <v>16</v>
      </c>
      <c r="AD1222" s="1187">
        <v>3.3</v>
      </c>
    </row>
    <row r="1223" spans="1:30" x14ac:dyDescent="0.2">
      <c r="A1223">
        <f t="shared" si="52"/>
        <v>32</v>
      </c>
      <c r="B1223">
        <v>1214</v>
      </c>
      <c r="C1223" s="1078">
        <v>3</v>
      </c>
      <c r="D1223" s="1077" t="s">
        <v>4530</v>
      </c>
      <c r="E1223" s="1077" t="s">
        <v>5151</v>
      </c>
      <c r="F1223" s="1185">
        <v>4</v>
      </c>
      <c r="G1223" s="1178"/>
      <c r="H1223" s="1178"/>
      <c r="I1223" s="1178"/>
      <c r="J1223" s="1178"/>
      <c r="K1223" s="1178"/>
      <c r="L1223" s="1178"/>
      <c r="M1223" s="1178"/>
      <c r="N1223" s="1178"/>
      <c r="O1223" s="1178"/>
      <c r="P1223" s="1178"/>
      <c r="Q1223" s="1178"/>
      <c r="R1223" s="1178"/>
      <c r="S1223" s="1178"/>
      <c r="T1223" s="1178"/>
      <c r="U1223" s="1178"/>
      <c r="V1223" s="1178"/>
      <c r="W1223" s="1178">
        <v>22.8</v>
      </c>
      <c r="X1223" s="1178">
        <v>3.6</v>
      </c>
      <c r="Y1223" s="1178">
        <v>17.399999999999999</v>
      </c>
      <c r="Z1223" s="1178">
        <v>2.74</v>
      </c>
      <c r="AA1223" s="1178">
        <v>24.2</v>
      </c>
      <c r="AB1223" s="1178">
        <v>4.8</v>
      </c>
      <c r="AC1223" s="1178">
        <v>21.1</v>
      </c>
      <c r="AD1223" s="1179">
        <v>3.22</v>
      </c>
    </row>
    <row r="1224" spans="1:30" x14ac:dyDescent="0.2">
      <c r="A1224">
        <f t="shared" si="52"/>
        <v>32</v>
      </c>
      <c r="B1224">
        <v>1215</v>
      </c>
      <c r="C1224" s="1078">
        <v>2</v>
      </c>
      <c r="D1224" s="1077" t="s">
        <v>4530</v>
      </c>
      <c r="E1224" s="1077" t="s">
        <v>5187</v>
      </c>
      <c r="F1224" s="1185">
        <v>4</v>
      </c>
      <c r="G1224" s="1178">
        <v>8.6999999999999993</v>
      </c>
      <c r="H1224" s="1178">
        <v>2.6</v>
      </c>
      <c r="I1224" s="1178">
        <v>10.7</v>
      </c>
      <c r="J1224" s="1178">
        <v>3.1</v>
      </c>
      <c r="K1224" s="1178">
        <v>6</v>
      </c>
      <c r="L1224" s="1178">
        <v>4.2</v>
      </c>
      <c r="M1224" s="1178">
        <v>7.1</v>
      </c>
      <c r="N1224" s="1178">
        <v>5.0999999999999996</v>
      </c>
      <c r="O1224" s="1178">
        <v>8.4</v>
      </c>
      <c r="P1224" s="1178">
        <v>6.1</v>
      </c>
      <c r="Q1224" s="1178">
        <v>9.4</v>
      </c>
      <c r="R1224" s="1178">
        <v>2</v>
      </c>
      <c r="S1224" s="1178">
        <v>7.1</v>
      </c>
      <c r="T1224" s="1178">
        <v>3.2</v>
      </c>
      <c r="U1224" s="1178">
        <v>13.2</v>
      </c>
      <c r="V1224" s="1178">
        <v>3.6</v>
      </c>
      <c r="W1224" s="1178"/>
      <c r="X1224" s="1178"/>
      <c r="Y1224" s="1178"/>
      <c r="Z1224" s="1178"/>
      <c r="AA1224" s="1178"/>
      <c r="AB1224" s="1178"/>
      <c r="AC1224" s="1178"/>
      <c r="AD1224" s="1179"/>
    </row>
    <row r="1225" spans="1:30" x14ac:dyDescent="0.2">
      <c r="A1225">
        <f t="shared" si="52"/>
        <v>32</v>
      </c>
      <c r="B1225">
        <v>1216</v>
      </c>
      <c r="C1225" s="1078">
        <v>2</v>
      </c>
      <c r="D1225" s="1077" t="s">
        <v>4530</v>
      </c>
      <c r="E1225" s="1077" t="s">
        <v>5186</v>
      </c>
      <c r="F1225" s="1185">
        <v>2</v>
      </c>
      <c r="G1225" s="1178">
        <v>16</v>
      </c>
      <c r="H1225" s="1178">
        <v>2.6</v>
      </c>
      <c r="I1225" s="1178">
        <v>19.899999999999999</v>
      </c>
      <c r="J1225" s="1178">
        <v>3.1</v>
      </c>
      <c r="K1225" s="1178">
        <v>13.3</v>
      </c>
      <c r="L1225" s="1178">
        <v>4</v>
      </c>
      <c r="M1225" s="1178">
        <v>16.2</v>
      </c>
      <c r="N1225" s="1178">
        <v>4.9000000000000004</v>
      </c>
      <c r="O1225" s="1178">
        <v>23.2</v>
      </c>
      <c r="P1225" s="1178">
        <v>6.8</v>
      </c>
      <c r="Q1225" s="1178">
        <v>19.7</v>
      </c>
      <c r="R1225" s="1178">
        <v>2.2999999999999998</v>
      </c>
      <c r="S1225" s="1178">
        <v>15.4</v>
      </c>
      <c r="T1225" s="1178">
        <v>3.4</v>
      </c>
      <c r="U1225" s="1178">
        <v>21.2</v>
      </c>
      <c r="V1225" s="1178">
        <v>4.7</v>
      </c>
      <c r="W1225" s="1178"/>
      <c r="X1225" s="1178"/>
      <c r="Y1225" s="1178"/>
      <c r="Z1225" s="1178"/>
      <c r="AA1225" s="1178"/>
      <c r="AB1225" s="1178"/>
      <c r="AC1225" s="1178"/>
      <c r="AD1225" s="1179"/>
    </row>
    <row r="1226" spans="1:30" x14ac:dyDescent="0.2">
      <c r="A1226">
        <f t="shared" si="52"/>
        <v>32</v>
      </c>
      <c r="B1226">
        <v>1217</v>
      </c>
      <c r="C1226" s="1078">
        <v>2</v>
      </c>
      <c r="D1226" s="1077" t="s">
        <v>4530</v>
      </c>
      <c r="E1226" s="1077" t="s">
        <v>5185</v>
      </c>
      <c r="F1226" s="1185">
        <v>2</v>
      </c>
      <c r="G1226" s="1178">
        <v>18.5</v>
      </c>
      <c r="H1226" s="1178">
        <v>2.78</v>
      </c>
      <c r="I1226" s="1178">
        <v>22.3</v>
      </c>
      <c r="J1226" s="1178">
        <v>3.1</v>
      </c>
      <c r="K1226" s="1178">
        <v>14.21</v>
      </c>
      <c r="L1226" s="1178">
        <v>3.59</v>
      </c>
      <c r="M1226" s="1178">
        <v>17.63</v>
      </c>
      <c r="N1226" s="1178">
        <v>4.33</v>
      </c>
      <c r="O1226" s="1178">
        <v>23.5</v>
      </c>
      <c r="P1226" s="1178">
        <v>5.35</v>
      </c>
      <c r="Q1226" s="1178">
        <v>21.8</v>
      </c>
      <c r="R1226" s="1178">
        <v>2.34</v>
      </c>
      <c r="S1226" s="1178">
        <v>17.37</v>
      </c>
      <c r="T1226" s="1178">
        <v>3.11</v>
      </c>
      <c r="U1226" s="1178">
        <v>21.73</v>
      </c>
      <c r="V1226" s="1178">
        <v>3.9</v>
      </c>
      <c r="W1226" s="1178"/>
      <c r="X1226" s="1178"/>
      <c r="Y1226" s="1178"/>
      <c r="Z1226" s="1178"/>
      <c r="AA1226" s="1178"/>
      <c r="AB1226" s="1178"/>
      <c r="AC1226" s="1178"/>
      <c r="AD1226" s="1179"/>
    </row>
    <row r="1227" spans="1:30" x14ac:dyDescent="0.2">
      <c r="A1227">
        <f t="shared" si="52"/>
        <v>32</v>
      </c>
      <c r="B1227">
        <v>1218</v>
      </c>
      <c r="C1227" s="1078">
        <v>2</v>
      </c>
      <c r="D1227" s="1077" t="s">
        <v>4530</v>
      </c>
      <c r="E1227" s="1077" t="s">
        <v>5184</v>
      </c>
      <c r="F1227" s="1185">
        <v>2</v>
      </c>
      <c r="G1227" s="1178">
        <v>31.7</v>
      </c>
      <c r="H1227" s="1178">
        <v>2.6</v>
      </c>
      <c r="I1227" s="1178">
        <v>38</v>
      </c>
      <c r="J1227" s="1178">
        <v>3</v>
      </c>
      <c r="K1227" s="1178">
        <v>26.6</v>
      </c>
      <c r="L1227" s="1178">
        <v>3.6</v>
      </c>
      <c r="M1227" s="1178">
        <v>35.299999999999997</v>
      </c>
      <c r="N1227" s="1178">
        <v>4.5</v>
      </c>
      <c r="O1227" s="1178">
        <v>44.4</v>
      </c>
      <c r="P1227" s="1178">
        <v>5.25</v>
      </c>
      <c r="Q1227" s="1178">
        <v>36.799999999999997</v>
      </c>
      <c r="R1227" s="1178">
        <v>2.2999999999999998</v>
      </c>
      <c r="S1227" s="1178">
        <v>31.7</v>
      </c>
      <c r="T1227" s="1178">
        <v>3.2</v>
      </c>
      <c r="U1227" s="1178">
        <v>40.5</v>
      </c>
      <c r="V1227" s="1178">
        <v>3.9</v>
      </c>
      <c r="W1227" s="1178"/>
      <c r="X1227" s="1178"/>
      <c r="Y1227" s="1178"/>
      <c r="Z1227" s="1178"/>
      <c r="AA1227" s="1178"/>
      <c r="AB1227" s="1178"/>
      <c r="AC1227" s="1178"/>
      <c r="AD1227" s="1179"/>
    </row>
    <row r="1228" spans="1:30" x14ac:dyDescent="0.2">
      <c r="A1228">
        <f t="shared" ref="A1228:A1291" si="53">A1227+(D1228&lt;&gt;D1227)*1</f>
        <v>32</v>
      </c>
      <c r="B1228">
        <v>1219</v>
      </c>
      <c r="C1228" s="1078">
        <v>2</v>
      </c>
      <c r="D1228" s="1077" t="s">
        <v>4530</v>
      </c>
      <c r="E1228" s="1077" t="s">
        <v>5183</v>
      </c>
      <c r="F1228" s="1185">
        <v>2</v>
      </c>
      <c r="G1228" s="1178">
        <v>31.7</v>
      </c>
      <c r="H1228" s="1178">
        <v>2.6</v>
      </c>
      <c r="I1228" s="1178">
        <v>38</v>
      </c>
      <c r="J1228" s="1178">
        <v>3</v>
      </c>
      <c r="K1228" s="1178">
        <v>26.6</v>
      </c>
      <c r="L1228" s="1178">
        <v>3.6</v>
      </c>
      <c r="M1228" s="1178">
        <v>35.299999999999997</v>
      </c>
      <c r="N1228" s="1178">
        <v>4.5</v>
      </c>
      <c r="O1228" s="1178">
        <v>44.4</v>
      </c>
      <c r="P1228" s="1178">
        <v>5.25</v>
      </c>
      <c r="Q1228" s="1178">
        <v>36.799999999999997</v>
      </c>
      <c r="R1228" s="1178">
        <v>2.2999999999999998</v>
      </c>
      <c r="S1228" s="1178">
        <v>31.7</v>
      </c>
      <c r="T1228" s="1178">
        <v>3.2</v>
      </c>
      <c r="U1228" s="1178">
        <v>40.5</v>
      </c>
      <c r="V1228" s="1178">
        <v>3.9</v>
      </c>
      <c r="W1228" s="1178"/>
      <c r="X1228" s="1178"/>
      <c r="Y1228" s="1178"/>
      <c r="Z1228" s="1178"/>
      <c r="AA1228" s="1178"/>
      <c r="AB1228" s="1178"/>
      <c r="AC1228" s="1178"/>
      <c r="AD1228" s="1179"/>
    </row>
    <row r="1229" spans="1:30" x14ac:dyDescent="0.2">
      <c r="A1229">
        <f t="shared" si="53"/>
        <v>32</v>
      </c>
      <c r="B1229">
        <v>1220</v>
      </c>
      <c r="C1229" s="1078">
        <v>2</v>
      </c>
      <c r="D1229" s="1077" t="s">
        <v>4530</v>
      </c>
      <c r="E1229" s="1077" t="s">
        <v>5182</v>
      </c>
      <c r="F1229" s="1185">
        <v>2</v>
      </c>
      <c r="G1229" s="1178">
        <v>34.6</v>
      </c>
      <c r="H1229" s="1178">
        <v>2.7</v>
      </c>
      <c r="I1229" s="1178">
        <v>42.1</v>
      </c>
      <c r="J1229" s="1178">
        <v>3.1</v>
      </c>
      <c r="K1229" s="1178">
        <v>25.7</v>
      </c>
      <c r="L1229" s="1178">
        <v>3.9</v>
      </c>
      <c r="M1229" s="1178">
        <v>33.299999999999997</v>
      </c>
      <c r="N1229" s="1178">
        <v>4.9000000000000004</v>
      </c>
      <c r="O1229" s="1178">
        <v>42.5</v>
      </c>
      <c r="P1229" s="1178">
        <v>6.4</v>
      </c>
      <c r="Q1229" s="1178">
        <v>41.5</v>
      </c>
      <c r="R1229" s="1178">
        <v>2.2999999999999998</v>
      </c>
      <c r="S1229" s="1178">
        <v>31.8</v>
      </c>
      <c r="T1229" s="1178">
        <v>3.4</v>
      </c>
      <c r="U1229" s="1178">
        <v>37.9</v>
      </c>
      <c r="V1229" s="1178">
        <v>4.2</v>
      </c>
      <c r="W1229" s="1178"/>
      <c r="X1229" s="1178"/>
      <c r="Y1229" s="1178"/>
      <c r="Z1229" s="1178"/>
      <c r="AA1229" s="1178"/>
      <c r="AB1229" s="1178"/>
      <c r="AC1229" s="1178"/>
      <c r="AD1229" s="1179"/>
    </row>
    <row r="1230" spans="1:30" x14ac:dyDescent="0.2">
      <c r="A1230">
        <f t="shared" si="53"/>
        <v>32</v>
      </c>
      <c r="B1230">
        <v>1221</v>
      </c>
      <c r="C1230" s="1078">
        <v>2</v>
      </c>
      <c r="D1230" s="1077" t="s">
        <v>4530</v>
      </c>
      <c r="E1230" s="1077" t="s">
        <v>5318</v>
      </c>
      <c r="F1230" s="1185">
        <v>4</v>
      </c>
      <c r="G1230" s="1178">
        <v>3.2</v>
      </c>
      <c r="H1230" s="1178">
        <v>2.5</v>
      </c>
      <c r="I1230" s="1178">
        <v>6</v>
      </c>
      <c r="J1230" s="1178">
        <v>3.03</v>
      </c>
      <c r="K1230" s="1178">
        <v>4.2</v>
      </c>
      <c r="L1230" s="1178">
        <v>4.16</v>
      </c>
      <c r="M1230" s="1178">
        <v>4.7</v>
      </c>
      <c r="N1230" s="1178">
        <v>4.76</v>
      </c>
      <c r="O1230" s="1178">
        <v>6.5</v>
      </c>
      <c r="P1230" s="1178">
        <v>6.4</v>
      </c>
      <c r="Q1230" s="1178">
        <v>5.66</v>
      </c>
      <c r="R1230" s="1178">
        <v>2</v>
      </c>
      <c r="S1230" s="1178">
        <v>5.4</v>
      </c>
      <c r="T1230" s="1178">
        <v>2.92</v>
      </c>
      <c r="U1230" s="1178">
        <v>6.88</v>
      </c>
      <c r="V1230" s="1178">
        <v>3.25</v>
      </c>
      <c r="W1230" s="1178"/>
      <c r="X1230" s="1178"/>
      <c r="Y1230" s="1178"/>
      <c r="Z1230" s="1178"/>
      <c r="AA1230" s="1178"/>
      <c r="AB1230" s="1178"/>
      <c r="AC1230" s="1178"/>
      <c r="AD1230" s="1179"/>
    </row>
    <row r="1231" spans="1:30" x14ac:dyDescent="0.2">
      <c r="A1231">
        <f t="shared" si="53"/>
        <v>32</v>
      </c>
      <c r="B1231">
        <v>1222</v>
      </c>
      <c r="C1231" s="1078">
        <v>2</v>
      </c>
      <c r="D1231" s="1077" t="s">
        <v>4530</v>
      </c>
      <c r="E1231" s="1077" t="s">
        <v>5319</v>
      </c>
      <c r="F1231" s="1185">
        <v>4</v>
      </c>
      <c r="G1231" s="1178">
        <v>7.6</v>
      </c>
      <c r="H1231" s="1178">
        <v>2.4</v>
      </c>
      <c r="I1231" s="1178">
        <v>9.4</v>
      </c>
      <c r="J1231" s="1178">
        <v>3.03</v>
      </c>
      <c r="K1231" s="1178">
        <v>6.5</v>
      </c>
      <c r="L1231" s="1178">
        <v>4.33</v>
      </c>
      <c r="M1231" s="1178">
        <v>6.9</v>
      </c>
      <c r="N1231" s="1178">
        <v>4.96</v>
      </c>
      <c r="O1231" s="1178">
        <v>8.3000000000000007</v>
      </c>
      <c r="P1231" s="1178">
        <v>6.2</v>
      </c>
      <c r="Q1231" s="1178">
        <v>8.81</v>
      </c>
      <c r="R1231" s="1178">
        <v>1.87</v>
      </c>
      <c r="S1231" s="1178">
        <v>6.94</v>
      </c>
      <c r="T1231" s="1178">
        <v>3.01</v>
      </c>
      <c r="U1231" s="1178">
        <v>13.83</v>
      </c>
      <c r="V1231" s="1178">
        <v>3.38</v>
      </c>
      <c r="W1231" s="1178"/>
      <c r="X1231" s="1178"/>
      <c r="Y1231" s="1178"/>
      <c r="Z1231" s="1178"/>
      <c r="AA1231" s="1178"/>
      <c r="AB1231" s="1178"/>
      <c r="AC1231" s="1178"/>
      <c r="AD1231" s="1179"/>
    </row>
    <row r="1232" spans="1:30" x14ac:dyDescent="0.2">
      <c r="A1232">
        <f t="shared" si="53"/>
        <v>32</v>
      </c>
      <c r="B1232">
        <v>1223</v>
      </c>
      <c r="C1232" s="1078">
        <v>2</v>
      </c>
      <c r="D1232" s="1077" t="s">
        <v>4530</v>
      </c>
      <c r="E1232" s="1077" t="s">
        <v>5152</v>
      </c>
      <c r="F1232" s="1185">
        <v>2</v>
      </c>
      <c r="G1232" s="1178">
        <v>12</v>
      </c>
      <c r="H1232" s="1178">
        <v>2.2000000000000002</v>
      </c>
      <c r="I1232" s="1178">
        <v>16.3</v>
      </c>
      <c r="J1232" s="1178">
        <v>3</v>
      </c>
      <c r="K1232" s="1178">
        <v>19.5</v>
      </c>
      <c r="L1232" s="1178">
        <v>3.7</v>
      </c>
      <c r="M1232" s="1178">
        <v>24.5</v>
      </c>
      <c r="N1232" s="1178">
        <v>4.3</v>
      </c>
      <c r="O1232" s="1178">
        <v>27.8</v>
      </c>
      <c r="P1232" s="1178">
        <v>4.7</v>
      </c>
      <c r="Q1232" s="1178">
        <v>15</v>
      </c>
      <c r="R1232" s="1178">
        <v>1.9</v>
      </c>
      <c r="S1232" s="1178">
        <v>22.1</v>
      </c>
      <c r="T1232" s="1178">
        <v>2.7</v>
      </c>
      <c r="U1232" s="1178">
        <v>26.1</v>
      </c>
      <c r="V1232" s="1178">
        <v>3.3</v>
      </c>
      <c r="W1232" s="1178"/>
      <c r="X1232" s="1178"/>
      <c r="Y1232" s="1178"/>
      <c r="Z1232" s="1178"/>
      <c r="AA1232" s="1178"/>
      <c r="AB1232" s="1178"/>
      <c r="AC1232" s="1178"/>
      <c r="AD1232" s="1179"/>
    </row>
    <row r="1233" spans="1:30" x14ac:dyDescent="0.2">
      <c r="A1233">
        <f t="shared" si="53"/>
        <v>32</v>
      </c>
      <c r="B1233">
        <v>1224</v>
      </c>
      <c r="C1233" s="1078">
        <v>2</v>
      </c>
      <c r="D1233" s="1077" t="s">
        <v>4530</v>
      </c>
      <c r="E1233" s="1077" t="s">
        <v>5153</v>
      </c>
      <c r="F1233" s="1185">
        <v>2</v>
      </c>
      <c r="G1233" s="1178">
        <v>18.600000000000001</v>
      </c>
      <c r="H1233" s="1178">
        <v>2.2999999999999998</v>
      </c>
      <c r="I1233" s="1178">
        <v>22.6</v>
      </c>
      <c r="J1233" s="1178">
        <v>2.9</v>
      </c>
      <c r="K1233" s="1178">
        <v>27.6</v>
      </c>
      <c r="L1233" s="1178">
        <v>3.6</v>
      </c>
      <c r="M1233" s="1178">
        <v>32.700000000000003</v>
      </c>
      <c r="N1233" s="1178">
        <v>4.0999999999999996</v>
      </c>
      <c r="O1233" s="1178">
        <v>43.5</v>
      </c>
      <c r="P1233" s="1178">
        <v>5</v>
      </c>
      <c r="Q1233" s="1178">
        <v>21.2</v>
      </c>
      <c r="R1233" s="1178">
        <v>1.7</v>
      </c>
      <c r="S1233" s="1178">
        <v>31.6</v>
      </c>
      <c r="T1233" s="1178">
        <v>2.7</v>
      </c>
      <c r="U1233" s="1178">
        <v>40.799999999999997</v>
      </c>
      <c r="V1233" s="1178">
        <v>3.3</v>
      </c>
      <c r="W1233" s="1178"/>
      <c r="X1233" s="1178"/>
      <c r="Y1233" s="1178"/>
      <c r="Z1233" s="1178"/>
      <c r="AA1233" s="1178"/>
      <c r="AB1233" s="1178"/>
      <c r="AC1233" s="1178"/>
      <c r="AD1233" s="1179"/>
    </row>
    <row r="1234" spans="1:30" x14ac:dyDescent="0.2">
      <c r="A1234">
        <f t="shared" si="53"/>
        <v>32</v>
      </c>
      <c r="B1234">
        <v>1225</v>
      </c>
      <c r="C1234" s="1078">
        <v>2</v>
      </c>
      <c r="D1234" s="1077" t="s">
        <v>4530</v>
      </c>
      <c r="E1234" s="1077" t="s">
        <v>5154</v>
      </c>
      <c r="F1234" s="1185">
        <v>2</v>
      </c>
      <c r="G1234" s="1178">
        <v>30</v>
      </c>
      <c r="H1234" s="1178">
        <v>2.4</v>
      </c>
      <c r="I1234" s="1178">
        <v>38.1</v>
      </c>
      <c r="J1234" s="1178">
        <v>2.9</v>
      </c>
      <c r="K1234" s="1178">
        <v>47.2</v>
      </c>
      <c r="L1234" s="1178">
        <v>3.6</v>
      </c>
      <c r="M1234" s="1178">
        <v>55.8</v>
      </c>
      <c r="N1234" s="1178">
        <v>4</v>
      </c>
      <c r="O1234" s="1178">
        <v>72.5</v>
      </c>
      <c r="P1234" s="1178">
        <v>4.9000000000000004</v>
      </c>
      <c r="Q1234" s="1178">
        <v>35</v>
      </c>
      <c r="R1234" s="1178">
        <v>2.2000000000000002</v>
      </c>
      <c r="S1234" s="1178">
        <v>56.4</v>
      </c>
      <c r="T1234" s="1178">
        <v>3</v>
      </c>
      <c r="U1234" s="1178">
        <v>68</v>
      </c>
      <c r="V1234" s="1178">
        <v>3.6</v>
      </c>
      <c r="W1234" s="1178"/>
      <c r="X1234" s="1178"/>
      <c r="Y1234" s="1178"/>
      <c r="Z1234" s="1178"/>
      <c r="AA1234" s="1178"/>
      <c r="AB1234" s="1178"/>
      <c r="AC1234" s="1178"/>
      <c r="AD1234" s="1179"/>
    </row>
    <row r="1235" spans="1:30" x14ac:dyDescent="0.2">
      <c r="A1235">
        <f t="shared" si="53"/>
        <v>32</v>
      </c>
      <c r="B1235">
        <v>1226</v>
      </c>
      <c r="C1235" s="1078">
        <v>2</v>
      </c>
      <c r="D1235" s="1077" t="s">
        <v>4530</v>
      </c>
      <c r="E1235" s="1077" t="s">
        <v>4379</v>
      </c>
      <c r="F1235" s="1185">
        <v>1</v>
      </c>
      <c r="G1235" s="1178">
        <v>5.7</v>
      </c>
      <c r="H1235" s="1178">
        <v>2.5</v>
      </c>
      <c r="I1235" s="1178">
        <v>7</v>
      </c>
      <c r="J1235" s="1178">
        <v>3</v>
      </c>
      <c r="K1235" s="1178">
        <v>8.3000000000000007</v>
      </c>
      <c r="L1235" s="1178">
        <v>3.6</v>
      </c>
      <c r="M1235" s="1178">
        <v>10.7</v>
      </c>
      <c r="N1235" s="1178">
        <v>4.2</v>
      </c>
      <c r="O1235" s="1178">
        <v>12.9</v>
      </c>
      <c r="P1235" s="1178">
        <v>5.4</v>
      </c>
      <c r="Q1235" s="1178">
        <v>6.6</v>
      </c>
      <c r="R1235" s="1178">
        <v>2</v>
      </c>
      <c r="S1235" s="1178">
        <v>10.1</v>
      </c>
      <c r="T1235" s="1178">
        <v>2.7</v>
      </c>
      <c r="U1235" s="1178">
        <v>12.2</v>
      </c>
      <c r="V1235" s="1178">
        <v>3.3</v>
      </c>
      <c r="W1235" s="1178"/>
      <c r="X1235" s="1178"/>
      <c r="Y1235" s="1178"/>
      <c r="Z1235" s="1178"/>
      <c r="AA1235" s="1178"/>
      <c r="AB1235" s="1178"/>
      <c r="AC1235" s="1178"/>
      <c r="AD1235" s="1179"/>
    </row>
    <row r="1236" spans="1:30" x14ac:dyDescent="0.2">
      <c r="A1236">
        <f t="shared" si="53"/>
        <v>32</v>
      </c>
      <c r="B1236">
        <v>1227</v>
      </c>
      <c r="C1236" s="1078">
        <v>2</v>
      </c>
      <c r="D1236" s="1077" t="s">
        <v>4530</v>
      </c>
      <c r="E1236" s="1077" t="s">
        <v>4380</v>
      </c>
      <c r="F1236" s="1185">
        <v>1</v>
      </c>
      <c r="G1236" s="1178">
        <v>5.7</v>
      </c>
      <c r="H1236" s="1178">
        <v>2.2000000000000002</v>
      </c>
      <c r="I1236" s="1178">
        <v>7.1</v>
      </c>
      <c r="J1236" s="1178">
        <v>3.1</v>
      </c>
      <c r="K1236" s="1178">
        <v>9.4</v>
      </c>
      <c r="L1236" s="1178">
        <v>4</v>
      </c>
      <c r="M1236" s="1178">
        <v>11.5</v>
      </c>
      <c r="N1236" s="1178">
        <v>4.8</v>
      </c>
      <c r="O1236" s="1178">
        <v>14.3</v>
      </c>
      <c r="P1236" s="1178">
        <v>6</v>
      </c>
      <c r="Q1236" s="1178">
        <v>6.5</v>
      </c>
      <c r="R1236" s="1178">
        <v>2</v>
      </c>
      <c r="S1236" s="1178">
        <v>10.3</v>
      </c>
      <c r="T1236" s="1178">
        <v>3.1</v>
      </c>
      <c r="U1236" s="1178">
        <v>12.9</v>
      </c>
      <c r="V1236" s="1178">
        <v>3.6</v>
      </c>
      <c r="W1236" s="1178"/>
      <c r="X1236" s="1178"/>
      <c r="Y1236" s="1178"/>
      <c r="Z1236" s="1178"/>
      <c r="AA1236" s="1178"/>
      <c r="AB1236" s="1178"/>
      <c r="AC1236" s="1178"/>
      <c r="AD1236" s="1179"/>
    </row>
    <row r="1237" spans="1:30" x14ac:dyDescent="0.2">
      <c r="A1237">
        <f t="shared" si="53"/>
        <v>32</v>
      </c>
      <c r="B1237">
        <v>1228</v>
      </c>
      <c r="C1237" s="1078">
        <v>2</v>
      </c>
      <c r="D1237" s="1077" t="s">
        <v>4530</v>
      </c>
      <c r="E1237" s="1077" t="s">
        <v>4381</v>
      </c>
      <c r="F1237" s="1185">
        <v>1</v>
      </c>
      <c r="G1237" s="1178">
        <v>8.6</v>
      </c>
      <c r="H1237" s="1178">
        <v>2.2000000000000002</v>
      </c>
      <c r="I1237" s="1178">
        <v>10.7</v>
      </c>
      <c r="J1237" s="1178">
        <v>2.7</v>
      </c>
      <c r="K1237" s="1178">
        <v>13.4</v>
      </c>
      <c r="L1237" s="1178">
        <v>3.3</v>
      </c>
      <c r="M1237" s="1178">
        <v>16.399999999999999</v>
      </c>
      <c r="N1237" s="1178">
        <v>4</v>
      </c>
      <c r="O1237" s="1178">
        <v>22.4</v>
      </c>
      <c r="P1237" s="1178">
        <v>5.2</v>
      </c>
      <c r="Q1237" s="1178">
        <v>9.1999999999999993</v>
      </c>
      <c r="R1237" s="1178">
        <v>1.6</v>
      </c>
      <c r="S1237" s="1178">
        <v>15.3</v>
      </c>
      <c r="T1237" s="1178">
        <v>2.5</v>
      </c>
      <c r="U1237" s="1178">
        <v>21.4</v>
      </c>
      <c r="V1237" s="1178">
        <v>3.5</v>
      </c>
      <c r="W1237" s="1178"/>
      <c r="X1237" s="1178"/>
      <c r="Y1237" s="1178"/>
      <c r="Z1237" s="1178"/>
      <c r="AA1237" s="1178"/>
      <c r="AB1237" s="1178"/>
      <c r="AC1237" s="1178"/>
      <c r="AD1237" s="1179"/>
    </row>
    <row r="1238" spans="1:30" x14ac:dyDescent="0.2">
      <c r="A1238">
        <f t="shared" si="53"/>
        <v>32</v>
      </c>
      <c r="B1238">
        <v>1229</v>
      </c>
      <c r="C1238" s="1078">
        <v>2</v>
      </c>
      <c r="D1238" s="1077" t="s">
        <v>4530</v>
      </c>
      <c r="E1238" s="1077" t="s">
        <v>4382</v>
      </c>
      <c r="F1238" s="1185">
        <v>2</v>
      </c>
      <c r="G1238" s="1178">
        <v>10.199999999999999</v>
      </c>
      <c r="H1238" s="1178">
        <v>2.6</v>
      </c>
      <c r="I1238" s="1178">
        <v>12.8</v>
      </c>
      <c r="J1238" s="1178">
        <v>2.9</v>
      </c>
      <c r="K1238" s="1178">
        <v>14.7</v>
      </c>
      <c r="L1238" s="1178">
        <v>3.3</v>
      </c>
      <c r="M1238" s="1178">
        <v>17.7</v>
      </c>
      <c r="N1238" s="1178">
        <v>4</v>
      </c>
      <c r="O1238" s="1178">
        <v>22.2</v>
      </c>
      <c r="P1238" s="1178">
        <v>5</v>
      </c>
      <c r="Q1238" s="1178">
        <v>12.2</v>
      </c>
      <c r="R1238" s="1178">
        <v>1.9</v>
      </c>
      <c r="S1238" s="1178">
        <v>17.399999999999999</v>
      </c>
      <c r="T1238" s="1178">
        <v>2.4</v>
      </c>
      <c r="U1238" s="1178">
        <v>24.2</v>
      </c>
      <c r="V1238" s="1178">
        <v>2.8</v>
      </c>
      <c r="W1238" s="1178"/>
      <c r="X1238" s="1178"/>
      <c r="Y1238" s="1178"/>
      <c r="Z1238" s="1178"/>
      <c r="AA1238" s="1178"/>
      <c r="AB1238" s="1178"/>
      <c r="AC1238" s="1178"/>
      <c r="AD1238" s="1179"/>
    </row>
    <row r="1239" spans="1:30" x14ac:dyDescent="0.2">
      <c r="A1239">
        <f t="shared" si="53"/>
        <v>32</v>
      </c>
      <c r="B1239">
        <v>1230</v>
      </c>
      <c r="C1239" s="1078">
        <v>2</v>
      </c>
      <c r="D1239" s="1077" t="s">
        <v>4530</v>
      </c>
      <c r="E1239" s="1077" t="s">
        <v>4383</v>
      </c>
      <c r="F1239" s="1185">
        <v>2</v>
      </c>
      <c r="G1239" s="1178">
        <v>12.5</v>
      </c>
      <c r="H1239" s="1178">
        <v>2.2999999999999998</v>
      </c>
      <c r="I1239" s="1178">
        <v>15.7</v>
      </c>
      <c r="J1239" s="1178">
        <v>2.7</v>
      </c>
      <c r="K1239" s="1178">
        <v>19.899999999999999</v>
      </c>
      <c r="L1239" s="1178">
        <v>3.4</v>
      </c>
      <c r="M1239" s="1178">
        <v>23.4</v>
      </c>
      <c r="N1239" s="1178">
        <v>3.9</v>
      </c>
      <c r="O1239" s="1178">
        <v>27.2</v>
      </c>
      <c r="P1239" s="1178">
        <v>4.5</v>
      </c>
      <c r="Q1239" s="1178">
        <v>15.7</v>
      </c>
      <c r="R1239" s="1178">
        <v>1.9</v>
      </c>
      <c r="S1239" s="1178">
        <v>22.3</v>
      </c>
      <c r="T1239" s="1178">
        <v>2.6</v>
      </c>
      <c r="U1239" s="1178">
        <v>26.3</v>
      </c>
      <c r="V1239" s="1178">
        <v>2.9</v>
      </c>
      <c r="W1239" s="1178"/>
      <c r="X1239" s="1178"/>
      <c r="Y1239" s="1178"/>
      <c r="Z1239" s="1178"/>
      <c r="AA1239" s="1178"/>
      <c r="AB1239" s="1178"/>
      <c r="AC1239" s="1178"/>
      <c r="AD1239" s="1179"/>
    </row>
    <row r="1240" spans="1:30" x14ac:dyDescent="0.2">
      <c r="A1240">
        <f t="shared" si="53"/>
        <v>32</v>
      </c>
      <c r="B1240">
        <v>1231</v>
      </c>
      <c r="C1240" s="1078">
        <v>2</v>
      </c>
      <c r="D1240" s="1077" t="s">
        <v>4530</v>
      </c>
      <c r="E1240" s="1077" t="s">
        <v>4384</v>
      </c>
      <c r="F1240" s="1185">
        <v>2</v>
      </c>
      <c r="G1240" s="1178">
        <v>18.2</v>
      </c>
      <c r="H1240" s="1178">
        <v>2.2999999999999998</v>
      </c>
      <c r="I1240" s="1178">
        <v>21.6</v>
      </c>
      <c r="J1240" s="1178">
        <v>2.8</v>
      </c>
      <c r="K1240" s="1178">
        <v>25.2</v>
      </c>
      <c r="L1240" s="1178">
        <v>3.3</v>
      </c>
      <c r="M1240" s="1178">
        <v>27.8</v>
      </c>
      <c r="N1240" s="1178">
        <v>3.5</v>
      </c>
      <c r="O1240" s="1178">
        <v>30.5</v>
      </c>
      <c r="P1240" s="1178">
        <v>4.0999999999999996</v>
      </c>
      <c r="Q1240" s="1178">
        <v>21.4</v>
      </c>
      <c r="R1240" s="1178">
        <v>1.9</v>
      </c>
      <c r="S1240" s="1178">
        <v>25.6</v>
      </c>
      <c r="T1240" s="1178">
        <v>2.4</v>
      </c>
      <c r="U1240" s="1178">
        <v>29.7</v>
      </c>
      <c r="V1240" s="1178">
        <v>2.7</v>
      </c>
      <c r="W1240" s="1178"/>
      <c r="X1240" s="1178"/>
      <c r="Y1240" s="1178"/>
      <c r="Z1240" s="1178"/>
      <c r="AA1240" s="1178"/>
      <c r="AB1240" s="1178"/>
      <c r="AC1240" s="1178"/>
      <c r="AD1240" s="1179"/>
    </row>
    <row r="1241" spans="1:30" x14ac:dyDescent="0.2">
      <c r="A1241">
        <f t="shared" si="53"/>
        <v>32</v>
      </c>
      <c r="B1241">
        <v>1232</v>
      </c>
      <c r="C1241" s="1078">
        <v>2</v>
      </c>
      <c r="D1241" s="1077" t="s">
        <v>4530</v>
      </c>
      <c r="E1241" s="1077" t="s">
        <v>4378</v>
      </c>
      <c r="F1241" s="1185">
        <v>1</v>
      </c>
      <c r="G1241" s="1178">
        <v>4.2</v>
      </c>
      <c r="H1241" s="1178">
        <v>2.4</v>
      </c>
      <c r="I1241" s="1178">
        <v>5.4</v>
      </c>
      <c r="J1241" s="1178">
        <v>3</v>
      </c>
      <c r="K1241" s="1178">
        <v>6.8</v>
      </c>
      <c r="L1241" s="1178">
        <v>3.9</v>
      </c>
      <c r="M1241" s="1178">
        <v>8.5</v>
      </c>
      <c r="N1241" s="1178">
        <v>4.7</v>
      </c>
      <c r="O1241" s="1178">
        <v>10.6</v>
      </c>
      <c r="P1241" s="1178">
        <v>6</v>
      </c>
      <c r="Q1241" s="1178">
        <v>5</v>
      </c>
      <c r="R1241" s="1178">
        <v>1.9</v>
      </c>
      <c r="S1241" s="1178">
        <v>7.5</v>
      </c>
      <c r="T1241" s="1178">
        <v>2.9</v>
      </c>
      <c r="U1241" s="1178">
        <v>9.6</v>
      </c>
      <c r="V1241" s="1178">
        <v>3.7</v>
      </c>
      <c r="W1241" s="1178"/>
      <c r="X1241" s="1178"/>
      <c r="Y1241" s="1178"/>
      <c r="Z1241" s="1178"/>
      <c r="AA1241" s="1178"/>
      <c r="AB1241" s="1178"/>
      <c r="AC1241" s="1178"/>
      <c r="AD1241" s="1179"/>
    </row>
    <row r="1242" spans="1:30" x14ac:dyDescent="0.2">
      <c r="A1242">
        <f t="shared" si="53"/>
        <v>32</v>
      </c>
      <c r="B1242">
        <v>1233</v>
      </c>
      <c r="C1242" s="1078">
        <v>2</v>
      </c>
      <c r="D1242" s="1077" t="s">
        <v>4530</v>
      </c>
      <c r="E1242" s="1077" t="s">
        <v>4377</v>
      </c>
      <c r="F1242" s="1185">
        <v>1</v>
      </c>
      <c r="G1242" s="1178">
        <v>4.3</v>
      </c>
      <c r="H1242" s="1178">
        <v>2.2999999999999998</v>
      </c>
      <c r="I1242" s="1178">
        <v>5.3</v>
      </c>
      <c r="J1242" s="1178">
        <v>2.8</v>
      </c>
      <c r="K1242" s="1178">
        <v>6.6</v>
      </c>
      <c r="L1242" s="1178">
        <v>3.5</v>
      </c>
      <c r="M1242" s="1178">
        <v>7.7</v>
      </c>
      <c r="N1242" s="1178">
        <v>4</v>
      </c>
      <c r="O1242" s="1178">
        <v>8.1999999999999993</v>
      </c>
      <c r="P1242" s="1178">
        <v>4.4000000000000004</v>
      </c>
      <c r="Q1242" s="1178">
        <v>4.9000000000000004</v>
      </c>
      <c r="R1242" s="1178">
        <v>1.8</v>
      </c>
      <c r="S1242" s="1178">
        <v>7.1</v>
      </c>
      <c r="T1242" s="1178">
        <v>2.5</v>
      </c>
      <c r="U1242" s="1178">
        <v>9</v>
      </c>
      <c r="V1242" s="1178">
        <v>3.2</v>
      </c>
      <c r="W1242" s="1178"/>
      <c r="X1242" s="1178"/>
      <c r="Y1242" s="1178"/>
      <c r="Z1242" s="1178"/>
      <c r="AA1242" s="1178"/>
      <c r="AB1242" s="1178"/>
      <c r="AC1242" s="1178"/>
      <c r="AD1242" s="1179"/>
    </row>
    <row r="1243" spans="1:30" x14ac:dyDescent="0.2">
      <c r="A1243">
        <f t="shared" si="53"/>
        <v>32</v>
      </c>
      <c r="B1243">
        <v>1234</v>
      </c>
      <c r="C1243" s="1078">
        <v>2</v>
      </c>
      <c r="D1243" s="1077" t="s">
        <v>4530</v>
      </c>
      <c r="E1243" s="1077" t="s">
        <v>4700</v>
      </c>
      <c r="F1243" s="1185">
        <v>1</v>
      </c>
      <c r="G1243" s="1178">
        <v>5.6</v>
      </c>
      <c r="H1243" s="1178">
        <v>2.7</v>
      </c>
      <c r="I1243" s="1178">
        <v>7.1</v>
      </c>
      <c r="J1243" s="1178">
        <v>3.3</v>
      </c>
      <c r="K1243" s="1178">
        <v>9.4</v>
      </c>
      <c r="L1243" s="1178">
        <v>4.2</v>
      </c>
      <c r="M1243" s="1178">
        <v>11.5</v>
      </c>
      <c r="N1243" s="1178">
        <v>5</v>
      </c>
      <c r="O1243" s="1178">
        <v>14.4</v>
      </c>
      <c r="P1243" s="1178">
        <v>6.4</v>
      </c>
      <c r="Q1243" s="1178">
        <v>7</v>
      </c>
      <c r="R1243" s="1178">
        <v>2.2000000000000002</v>
      </c>
      <c r="S1243" s="1178">
        <v>10.3</v>
      </c>
      <c r="T1243" s="1178">
        <v>3.2</v>
      </c>
      <c r="U1243" s="1178">
        <v>12.8</v>
      </c>
      <c r="V1243" s="1178">
        <v>3.7</v>
      </c>
      <c r="W1243" s="1178"/>
      <c r="X1243" s="1178"/>
      <c r="Y1243" s="1178"/>
      <c r="Z1243" s="1178"/>
      <c r="AA1243" s="1178"/>
      <c r="AB1243" s="1178"/>
      <c r="AC1243" s="1178"/>
      <c r="AD1243" s="1179"/>
    </row>
    <row r="1244" spans="1:30" x14ac:dyDescent="0.2">
      <c r="A1244">
        <f t="shared" si="53"/>
        <v>32</v>
      </c>
      <c r="B1244">
        <v>1235</v>
      </c>
      <c r="C1244" s="1078">
        <v>2</v>
      </c>
      <c r="D1244" s="1077" t="s">
        <v>4530</v>
      </c>
      <c r="E1244" s="1077" t="s">
        <v>5308</v>
      </c>
      <c r="F1244" s="1185">
        <v>2</v>
      </c>
      <c r="G1244" s="1178">
        <v>7.95</v>
      </c>
      <c r="H1244" s="1178">
        <v>2.52</v>
      </c>
      <c r="I1244" s="1178">
        <v>11.04</v>
      </c>
      <c r="J1244" s="1178">
        <v>3.28</v>
      </c>
      <c r="K1244" s="1178">
        <v>7.2549999999999999</v>
      </c>
      <c r="L1244" s="1178">
        <v>4.1900000000000004</v>
      </c>
      <c r="M1244" s="1178">
        <v>8.266</v>
      </c>
      <c r="N1244" s="1178">
        <v>4.8</v>
      </c>
      <c r="O1244" s="1178">
        <v>11.04</v>
      </c>
      <c r="P1244" s="1178">
        <v>6.56</v>
      </c>
      <c r="Q1244" s="1178">
        <v>10.76</v>
      </c>
      <c r="R1244" s="1178">
        <v>2.1800000000000002</v>
      </c>
      <c r="S1244" s="1178">
        <v>7.74</v>
      </c>
      <c r="T1244" s="1178">
        <v>3.11</v>
      </c>
      <c r="U1244" s="1178">
        <v>9.6999999999999993</v>
      </c>
      <c r="V1244" s="1178">
        <v>3.85</v>
      </c>
      <c r="W1244" s="1178"/>
      <c r="X1244" s="1178"/>
      <c r="Y1244" s="1178"/>
      <c r="Z1244" s="1178"/>
      <c r="AA1244" s="1178"/>
      <c r="AB1244" s="1178"/>
      <c r="AC1244" s="1178"/>
      <c r="AD1244" s="1179"/>
    </row>
    <row r="1245" spans="1:30" x14ac:dyDescent="0.2">
      <c r="A1245">
        <f t="shared" si="53"/>
        <v>32</v>
      </c>
      <c r="B1245">
        <v>1236</v>
      </c>
      <c r="C1245" s="1078">
        <v>2</v>
      </c>
      <c r="D1245" s="1077" t="s">
        <v>4530</v>
      </c>
      <c r="E1245" s="1077" t="s">
        <v>5309</v>
      </c>
      <c r="F1245" s="1185">
        <v>1</v>
      </c>
      <c r="G1245" s="1178">
        <v>5.6</v>
      </c>
      <c r="H1245" s="1178">
        <v>2.4</v>
      </c>
      <c r="I1245" s="1178">
        <v>7.3</v>
      </c>
      <c r="J1245" s="1178">
        <v>3.1</v>
      </c>
      <c r="K1245" s="1178">
        <v>9.5</v>
      </c>
      <c r="L1245" s="1178">
        <v>4</v>
      </c>
      <c r="M1245" s="1178">
        <v>11.26</v>
      </c>
      <c r="N1245" s="1178">
        <v>4.72</v>
      </c>
      <c r="O1245" s="1178">
        <v>14.68</v>
      </c>
      <c r="P1245" s="1178">
        <v>5.34</v>
      </c>
      <c r="Q1245" s="1178">
        <v>7.23</v>
      </c>
      <c r="R1245" s="1178">
        <v>2.1800000000000002</v>
      </c>
      <c r="S1245" s="1178">
        <v>9.9700000000000006</v>
      </c>
      <c r="T1245" s="1178">
        <v>2.96</v>
      </c>
      <c r="U1245" s="1178">
        <v>13.1</v>
      </c>
      <c r="V1245" s="1178">
        <v>3.93</v>
      </c>
      <c r="W1245" s="1178"/>
      <c r="X1245" s="1178"/>
      <c r="Y1245" s="1178"/>
      <c r="Z1245" s="1178"/>
      <c r="AA1245" s="1178"/>
      <c r="AB1245" s="1178"/>
      <c r="AC1245" s="1178"/>
      <c r="AD1245" s="1179"/>
    </row>
    <row r="1246" spans="1:30" x14ac:dyDescent="0.2">
      <c r="A1246">
        <f t="shared" si="53"/>
        <v>32</v>
      </c>
      <c r="B1246">
        <v>1237</v>
      </c>
      <c r="C1246" s="1078">
        <v>2</v>
      </c>
      <c r="D1246" s="1077" t="s">
        <v>4530</v>
      </c>
      <c r="E1246" s="1077" t="s">
        <v>5320</v>
      </c>
      <c r="F1246" s="1185">
        <v>2</v>
      </c>
      <c r="G1246" s="1178">
        <v>11.39</v>
      </c>
      <c r="H1246" s="1178">
        <v>2.67</v>
      </c>
      <c r="I1246" s="1178">
        <v>13.89</v>
      </c>
      <c r="J1246" s="1178">
        <v>3.11</v>
      </c>
      <c r="K1246" s="1178">
        <v>15.86</v>
      </c>
      <c r="L1246" s="1178">
        <v>3.7</v>
      </c>
      <c r="M1246" s="1178">
        <v>11.67</v>
      </c>
      <c r="N1246" s="1178">
        <v>5.04</v>
      </c>
      <c r="O1246" s="1178">
        <v>13.57</v>
      </c>
      <c r="P1246" s="1178">
        <v>5.93</v>
      </c>
      <c r="Q1246" s="1178">
        <v>13.19</v>
      </c>
      <c r="R1246" s="1178">
        <v>2.25</v>
      </c>
      <c r="S1246" s="1178">
        <v>10.79</v>
      </c>
      <c r="T1246" s="1178">
        <v>3.17</v>
      </c>
      <c r="U1246" s="1178">
        <v>12.23</v>
      </c>
      <c r="V1246" s="1178">
        <v>3.63</v>
      </c>
      <c r="W1246" s="1178"/>
      <c r="X1246" s="1178"/>
      <c r="Y1246" s="1178"/>
      <c r="Z1246" s="1178"/>
      <c r="AA1246" s="1178"/>
      <c r="AB1246" s="1178"/>
      <c r="AC1246" s="1178"/>
      <c r="AD1246" s="1179"/>
    </row>
    <row r="1247" spans="1:30" x14ac:dyDescent="0.2">
      <c r="A1247">
        <f t="shared" si="53"/>
        <v>32</v>
      </c>
      <c r="B1247">
        <v>1238</v>
      </c>
      <c r="C1247" s="1078">
        <v>2</v>
      </c>
      <c r="D1247" s="1077" t="s">
        <v>4530</v>
      </c>
      <c r="E1247" s="1077" t="s">
        <v>5321</v>
      </c>
      <c r="F1247" s="1185">
        <v>2</v>
      </c>
      <c r="G1247" s="1178">
        <v>13.74</v>
      </c>
      <c r="H1247" s="1178">
        <v>2.6</v>
      </c>
      <c r="I1247" s="1178">
        <v>18.350000000000001</v>
      </c>
      <c r="J1247" s="1178">
        <v>3.24</v>
      </c>
      <c r="K1247" s="1178">
        <v>18.63</v>
      </c>
      <c r="L1247" s="1178">
        <v>3.65</v>
      </c>
      <c r="M1247" s="1178">
        <v>14.17</v>
      </c>
      <c r="N1247" s="1178">
        <v>4.8099999999999996</v>
      </c>
      <c r="O1247" s="1178">
        <v>17.989999999999998</v>
      </c>
      <c r="P1247" s="1178">
        <v>6.2</v>
      </c>
      <c r="Q1247" s="1178">
        <v>18.190000000000001</v>
      </c>
      <c r="R1247" s="1178">
        <v>2.31</v>
      </c>
      <c r="S1247" s="1178">
        <v>13.05</v>
      </c>
      <c r="T1247" s="1178">
        <v>3.08</v>
      </c>
      <c r="U1247" s="1178">
        <v>16.38</v>
      </c>
      <c r="V1247" s="1178">
        <v>3.86</v>
      </c>
      <c r="W1247" s="1178"/>
      <c r="X1247" s="1178"/>
      <c r="Y1247" s="1178"/>
      <c r="Z1247" s="1178"/>
      <c r="AA1247" s="1178"/>
      <c r="AB1247" s="1178"/>
      <c r="AC1247" s="1178"/>
      <c r="AD1247" s="1179"/>
    </row>
    <row r="1248" spans="1:30" x14ac:dyDescent="0.2">
      <c r="A1248">
        <f t="shared" si="53"/>
        <v>32</v>
      </c>
      <c r="B1248">
        <v>1239</v>
      </c>
      <c r="C1248" s="1078">
        <v>2</v>
      </c>
      <c r="D1248" s="1077" t="s">
        <v>4530</v>
      </c>
      <c r="E1248" s="1077" t="s">
        <v>5322</v>
      </c>
      <c r="F1248" s="1185">
        <v>4</v>
      </c>
      <c r="G1248" s="1178">
        <v>9.4</v>
      </c>
      <c r="H1248" s="1178">
        <v>2.4</v>
      </c>
      <c r="I1248" s="1178">
        <v>11.2</v>
      </c>
      <c r="J1248" s="1178">
        <v>2.9</v>
      </c>
      <c r="K1248" s="1178">
        <v>4.9000000000000004</v>
      </c>
      <c r="L1248" s="1178">
        <v>4.5</v>
      </c>
      <c r="M1248" s="1178">
        <v>4.6500000000000004</v>
      </c>
      <c r="N1248" s="1178">
        <v>5.6</v>
      </c>
      <c r="O1248" s="1178">
        <v>5.96</v>
      </c>
      <c r="P1248" s="1178">
        <v>7.86</v>
      </c>
      <c r="Q1248" s="1178">
        <v>10.14</v>
      </c>
      <c r="R1248" s="1178">
        <v>2.0299999999999998</v>
      </c>
      <c r="S1248" s="1178">
        <v>4</v>
      </c>
      <c r="T1248" s="1178">
        <v>3.2</v>
      </c>
      <c r="U1248" s="1178">
        <v>5.31</v>
      </c>
      <c r="V1248" s="1178">
        <v>4.32</v>
      </c>
      <c r="W1248" s="1178"/>
      <c r="X1248" s="1178"/>
      <c r="Y1248" s="1178"/>
      <c r="Z1248" s="1178"/>
      <c r="AA1248" s="1178"/>
      <c r="AB1248" s="1178"/>
      <c r="AC1248" s="1178"/>
      <c r="AD1248" s="1179"/>
    </row>
    <row r="1249" spans="1:30" x14ac:dyDescent="0.2">
      <c r="A1249">
        <f t="shared" si="53"/>
        <v>32</v>
      </c>
      <c r="B1249">
        <v>1240</v>
      </c>
      <c r="C1249" s="1078">
        <v>2</v>
      </c>
      <c r="D1249" s="1077" t="s">
        <v>4530</v>
      </c>
      <c r="E1249" s="1077" t="s">
        <v>5323</v>
      </c>
      <c r="F1249" s="1185">
        <v>2</v>
      </c>
      <c r="G1249" s="1178">
        <v>11.39</v>
      </c>
      <c r="H1249" s="1178">
        <v>2.67</v>
      </c>
      <c r="I1249" s="1178">
        <v>13.89</v>
      </c>
      <c r="J1249" s="1178">
        <v>3.11</v>
      </c>
      <c r="K1249" s="1178">
        <v>15.86</v>
      </c>
      <c r="L1249" s="1178">
        <v>3.7</v>
      </c>
      <c r="M1249" s="1178">
        <v>11.67</v>
      </c>
      <c r="N1249" s="1178">
        <v>5.04</v>
      </c>
      <c r="O1249" s="1178">
        <v>13.57</v>
      </c>
      <c r="P1249" s="1178">
        <v>5.93</v>
      </c>
      <c r="Q1249" s="1178">
        <v>13.19</v>
      </c>
      <c r="R1249" s="1178">
        <v>2.25</v>
      </c>
      <c r="S1249" s="1178">
        <v>10.79</v>
      </c>
      <c r="T1249" s="1178">
        <v>3.17</v>
      </c>
      <c r="U1249" s="1178">
        <v>12.23</v>
      </c>
      <c r="V1249" s="1178">
        <v>3.63</v>
      </c>
      <c r="W1249" s="1178"/>
      <c r="X1249" s="1178"/>
      <c r="Y1249" s="1178"/>
      <c r="Z1249" s="1178"/>
      <c r="AA1249" s="1178"/>
      <c r="AB1249" s="1178"/>
      <c r="AC1249" s="1178"/>
      <c r="AD1249" s="1179"/>
    </row>
    <row r="1250" spans="1:30" x14ac:dyDescent="0.2">
      <c r="A1250">
        <f t="shared" si="53"/>
        <v>32</v>
      </c>
      <c r="B1250">
        <v>1241</v>
      </c>
      <c r="C1250" s="1078">
        <v>2</v>
      </c>
      <c r="D1250" s="1077" t="s">
        <v>4530</v>
      </c>
      <c r="E1250" s="1077" t="s">
        <v>4701</v>
      </c>
      <c r="F1250" s="1185">
        <v>4</v>
      </c>
      <c r="G1250" s="1178">
        <v>8</v>
      </c>
      <c r="H1250" s="1178">
        <v>2.7</v>
      </c>
      <c r="I1250" s="1178">
        <v>8</v>
      </c>
      <c r="J1250" s="1178">
        <v>3.5</v>
      </c>
      <c r="K1250" s="1178">
        <v>8</v>
      </c>
      <c r="L1250" s="1178">
        <v>3.6</v>
      </c>
      <c r="M1250" s="1178">
        <v>8</v>
      </c>
      <c r="N1250" s="1178">
        <v>4.7</v>
      </c>
      <c r="O1250" s="1178">
        <v>8</v>
      </c>
      <c r="P1250" s="1178">
        <v>6.8</v>
      </c>
      <c r="Q1250" s="1178">
        <v>8</v>
      </c>
      <c r="R1250" s="1178">
        <v>2</v>
      </c>
      <c r="S1250" s="1178">
        <v>8</v>
      </c>
      <c r="T1250" s="1178">
        <v>2.6</v>
      </c>
      <c r="U1250" s="1178">
        <v>8</v>
      </c>
      <c r="V1250" s="1178">
        <v>3.7</v>
      </c>
      <c r="W1250" s="1178"/>
      <c r="X1250" s="1178"/>
      <c r="Y1250" s="1178"/>
      <c r="Z1250" s="1178"/>
      <c r="AA1250" s="1178"/>
      <c r="AB1250" s="1178"/>
      <c r="AC1250" s="1178"/>
      <c r="AD1250" s="1179"/>
    </row>
    <row r="1251" spans="1:30" x14ac:dyDescent="0.2">
      <c r="A1251">
        <f t="shared" si="53"/>
        <v>32</v>
      </c>
      <c r="B1251">
        <v>1242</v>
      </c>
      <c r="C1251" s="1078">
        <v>2</v>
      </c>
      <c r="D1251" s="1077" t="s">
        <v>4530</v>
      </c>
      <c r="E1251" s="1077" t="s">
        <v>4702</v>
      </c>
      <c r="F1251" s="1185">
        <v>4</v>
      </c>
      <c r="G1251" s="1178">
        <v>11.2</v>
      </c>
      <c r="H1251" s="1178">
        <v>2.4</v>
      </c>
      <c r="I1251" s="1178">
        <v>11.2</v>
      </c>
      <c r="J1251" s="1178">
        <v>3.5</v>
      </c>
      <c r="K1251" s="1178">
        <v>11.2</v>
      </c>
      <c r="L1251" s="1178">
        <v>3.2</v>
      </c>
      <c r="M1251" s="1178">
        <v>11.2</v>
      </c>
      <c r="N1251" s="1178">
        <v>4.5</v>
      </c>
      <c r="O1251" s="1178">
        <v>11.2</v>
      </c>
      <c r="P1251" s="1178">
        <v>7.1</v>
      </c>
      <c r="Q1251" s="1178">
        <v>11.2</v>
      </c>
      <c r="R1251" s="1178">
        <v>2</v>
      </c>
      <c r="S1251" s="1178">
        <v>11.2</v>
      </c>
      <c r="T1251" s="1178">
        <v>2.7</v>
      </c>
      <c r="U1251" s="1178">
        <v>11.2</v>
      </c>
      <c r="V1251" s="1178">
        <v>4.3</v>
      </c>
      <c r="W1251" s="1178"/>
      <c r="X1251" s="1178"/>
      <c r="Y1251" s="1178"/>
      <c r="Z1251" s="1178"/>
      <c r="AA1251" s="1178"/>
      <c r="AB1251" s="1178"/>
      <c r="AC1251" s="1178"/>
      <c r="AD1251" s="1179"/>
    </row>
    <row r="1252" spans="1:30" x14ac:dyDescent="0.2">
      <c r="A1252">
        <f t="shared" si="53"/>
        <v>32</v>
      </c>
      <c r="B1252">
        <v>1243</v>
      </c>
      <c r="C1252" s="1078">
        <v>2</v>
      </c>
      <c r="D1252" s="1077" t="s">
        <v>4530</v>
      </c>
      <c r="E1252" s="1077" t="s">
        <v>4703</v>
      </c>
      <c r="F1252" s="1185">
        <v>4</v>
      </c>
      <c r="G1252" s="1178">
        <v>14</v>
      </c>
      <c r="H1252" s="1178">
        <v>2.1</v>
      </c>
      <c r="I1252" s="1178">
        <v>14</v>
      </c>
      <c r="J1252" s="1178">
        <v>2.6</v>
      </c>
      <c r="K1252" s="1178">
        <v>14</v>
      </c>
      <c r="L1252" s="1178">
        <v>3.2</v>
      </c>
      <c r="M1252" s="1178">
        <v>14</v>
      </c>
      <c r="N1252" s="1178">
        <v>4.3</v>
      </c>
      <c r="O1252" s="1178">
        <v>14</v>
      </c>
      <c r="P1252" s="1178">
        <v>5.8</v>
      </c>
      <c r="Q1252" s="1178">
        <v>14</v>
      </c>
      <c r="R1252" s="1178">
        <v>1.7</v>
      </c>
      <c r="S1252" s="1178">
        <v>14</v>
      </c>
      <c r="T1252" s="1178">
        <v>2.6</v>
      </c>
      <c r="U1252" s="1178">
        <v>14</v>
      </c>
      <c r="V1252" s="1178">
        <v>3.1</v>
      </c>
      <c r="W1252" s="1178"/>
      <c r="X1252" s="1178"/>
      <c r="Y1252" s="1178"/>
      <c r="Z1252" s="1178"/>
      <c r="AA1252" s="1178"/>
      <c r="AB1252" s="1178"/>
      <c r="AC1252" s="1178"/>
      <c r="AD1252" s="1179"/>
    </row>
    <row r="1253" spans="1:30" x14ac:dyDescent="0.2">
      <c r="A1253">
        <f t="shared" si="53"/>
        <v>32</v>
      </c>
      <c r="B1253">
        <v>1244</v>
      </c>
      <c r="C1253" s="1078">
        <v>2</v>
      </c>
      <c r="D1253" s="1077" t="s">
        <v>4530</v>
      </c>
      <c r="E1253" s="1077" t="s">
        <v>4704</v>
      </c>
      <c r="F1253" s="1185">
        <v>4</v>
      </c>
      <c r="G1253" s="1178">
        <v>23</v>
      </c>
      <c r="H1253" s="1178">
        <v>2.2000000000000002</v>
      </c>
      <c r="I1253" s="1178">
        <v>23</v>
      </c>
      <c r="J1253" s="1178">
        <v>2.9</v>
      </c>
      <c r="K1253" s="1178">
        <v>23</v>
      </c>
      <c r="L1253" s="1178">
        <v>3.2</v>
      </c>
      <c r="M1253" s="1178">
        <v>23</v>
      </c>
      <c r="N1253" s="1178">
        <v>3.7</v>
      </c>
      <c r="O1253" s="1178">
        <v>23</v>
      </c>
      <c r="P1253" s="1178">
        <v>4.9000000000000004</v>
      </c>
      <c r="Q1253" s="1178">
        <v>23</v>
      </c>
      <c r="R1253" s="1178">
        <v>2</v>
      </c>
      <c r="S1253" s="1178">
        <v>23</v>
      </c>
      <c r="T1253" s="1178">
        <v>2.4</v>
      </c>
      <c r="U1253" s="1178">
        <v>23</v>
      </c>
      <c r="V1253" s="1178">
        <v>3.3</v>
      </c>
      <c r="W1253" s="1178"/>
      <c r="X1253" s="1178"/>
      <c r="Y1253" s="1178"/>
      <c r="Z1253" s="1178"/>
      <c r="AA1253" s="1178"/>
      <c r="AB1253" s="1178"/>
      <c r="AC1253" s="1178"/>
      <c r="AD1253" s="1179"/>
    </row>
    <row r="1254" spans="1:30" x14ac:dyDescent="0.2">
      <c r="A1254">
        <f t="shared" si="53"/>
        <v>32</v>
      </c>
      <c r="B1254">
        <v>1245</v>
      </c>
      <c r="C1254" s="1078">
        <v>3</v>
      </c>
      <c r="D1254" s="1077" t="s">
        <v>4530</v>
      </c>
      <c r="E1254" s="1077" t="s">
        <v>4390</v>
      </c>
      <c r="F1254" s="1185">
        <v>1</v>
      </c>
      <c r="G1254" s="1178"/>
      <c r="H1254" s="1178"/>
      <c r="I1254" s="1178"/>
      <c r="J1254" s="1178"/>
      <c r="K1254" s="1178"/>
      <c r="L1254" s="1178"/>
      <c r="M1254" s="1178"/>
      <c r="N1254" s="1178"/>
      <c r="O1254" s="1178"/>
      <c r="P1254" s="1178"/>
      <c r="Q1254" s="1178"/>
      <c r="R1254" s="1178"/>
      <c r="S1254" s="1178"/>
      <c r="T1254" s="1178"/>
      <c r="U1254" s="1178"/>
      <c r="V1254" s="1178"/>
      <c r="W1254" s="1178">
        <v>10.9</v>
      </c>
      <c r="X1254" s="1178">
        <v>4.8600000000000003</v>
      </c>
      <c r="Y1254" s="1178">
        <v>10</v>
      </c>
      <c r="Z1254" s="1178">
        <v>2.87</v>
      </c>
      <c r="AA1254" s="1178">
        <v>14.2</v>
      </c>
      <c r="AB1254" s="1178">
        <v>6.3</v>
      </c>
      <c r="AC1254" s="1178">
        <v>12.8</v>
      </c>
      <c r="AD1254" s="1179">
        <v>3.6</v>
      </c>
    </row>
    <row r="1255" spans="1:30" x14ac:dyDescent="0.2">
      <c r="A1255">
        <f t="shared" si="53"/>
        <v>32</v>
      </c>
      <c r="B1255">
        <v>1246</v>
      </c>
      <c r="C1255" s="1078">
        <v>3</v>
      </c>
      <c r="D1255" s="1077" t="s">
        <v>4530</v>
      </c>
      <c r="E1255" s="1077" t="s">
        <v>4707</v>
      </c>
      <c r="F1255" s="1185">
        <v>2</v>
      </c>
      <c r="G1255" s="1186"/>
      <c r="H1255" s="1186"/>
      <c r="I1255" s="1186"/>
      <c r="J1255" s="1186"/>
      <c r="K1255" s="1186"/>
      <c r="L1255" s="1186"/>
      <c r="M1255" s="1186"/>
      <c r="N1255" s="1186"/>
      <c r="O1255" s="1186"/>
      <c r="P1255" s="1186"/>
      <c r="Q1255" s="1186"/>
      <c r="R1255" s="1186"/>
      <c r="S1255" s="1186"/>
      <c r="T1255" s="1186"/>
      <c r="U1255" s="1186"/>
      <c r="V1255" s="1186"/>
      <c r="W1255" s="1186">
        <v>138.1</v>
      </c>
      <c r="X1255" s="1186">
        <v>4.5999999999999996</v>
      </c>
      <c r="Y1255" s="1186">
        <v>129.19999999999999</v>
      </c>
      <c r="Z1255" s="1186">
        <v>3.1</v>
      </c>
      <c r="AA1255" s="1186">
        <v>173.4</v>
      </c>
      <c r="AB1255" s="1186">
        <v>5.7</v>
      </c>
      <c r="AC1255" s="1186">
        <v>158.6</v>
      </c>
      <c r="AD1255" s="1187">
        <v>3.9</v>
      </c>
    </row>
    <row r="1256" spans="1:30" x14ac:dyDescent="0.2">
      <c r="A1256">
        <f t="shared" si="53"/>
        <v>32</v>
      </c>
      <c r="B1256">
        <v>1247</v>
      </c>
      <c r="C1256" s="1078">
        <v>3</v>
      </c>
      <c r="D1256" s="1077" t="s">
        <v>4530</v>
      </c>
      <c r="E1256" s="1077" t="s">
        <v>4392</v>
      </c>
      <c r="F1256" s="1185">
        <v>1</v>
      </c>
      <c r="G1256" s="1186"/>
      <c r="H1256" s="1186"/>
      <c r="I1256" s="1186"/>
      <c r="J1256" s="1186"/>
      <c r="K1256" s="1186"/>
      <c r="L1256" s="1186"/>
      <c r="M1256" s="1186"/>
      <c r="N1256" s="1186"/>
      <c r="O1256" s="1186"/>
      <c r="P1256" s="1186"/>
      <c r="Q1256" s="1186"/>
      <c r="R1256" s="1186"/>
      <c r="S1256" s="1186"/>
      <c r="T1256" s="1186"/>
      <c r="U1256" s="1186"/>
      <c r="V1256" s="1186"/>
      <c r="W1256" s="1186">
        <v>13.98</v>
      </c>
      <c r="X1256" s="1186">
        <v>4.9820000000000002</v>
      </c>
      <c r="Y1256" s="1186">
        <v>12.762</v>
      </c>
      <c r="Z1256" s="1186">
        <v>3.0259999999999998</v>
      </c>
      <c r="AA1256" s="1186">
        <v>18.2</v>
      </c>
      <c r="AB1256" s="1186">
        <v>6.5</v>
      </c>
      <c r="AC1256" s="1186">
        <v>16.5</v>
      </c>
      <c r="AD1256" s="1187">
        <v>3.7</v>
      </c>
    </row>
    <row r="1257" spans="1:30" x14ac:dyDescent="0.2">
      <c r="A1257">
        <f t="shared" si="53"/>
        <v>32</v>
      </c>
      <c r="B1257">
        <v>1248</v>
      </c>
      <c r="C1257" s="1078">
        <v>3</v>
      </c>
      <c r="D1257" s="1077" t="s">
        <v>4530</v>
      </c>
      <c r="E1257" s="1077" t="s">
        <v>4393</v>
      </c>
      <c r="F1257" s="1185">
        <v>1</v>
      </c>
      <c r="G1257" s="1186"/>
      <c r="H1257" s="1186"/>
      <c r="I1257" s="1186"/>
      <c r="J1257" s="1186"/>
      <c r="K1257" s="1186"/>
      <c r="L1257" s="1186"/>
      <c r="M1257" s="1186"/>
      <c r="N1257" s="1186"/>
      <c r="O1257" s="1186"/>
      <c r="P1257" s="1186"/>
      <c r="Q1257" s="1186"/>
      <c r="R1257" s="1186"/>
      <c r="S1257" s="1186"/>
      <c r="T1257" s="1186"/>
      <c r="U1257" s="1186"/>
      <c r="V1257" s="1186"/>
      <c r="W1257" s="1186">
        <v>17.5</v>
      </c>
      <c r="X1257" s="1186">
        <v>4.67</v>
      </c>
      <c r="Y1257" s="1186">
        <v>16.5</v>
      </c>
      <c r="Z1257" s="1186">
        <v>2.9</v>
      </c>
      <c r="AA1257" s="1186">
        <v>22.3</v>
      </c>
      <c r="AB1257" s="1186">
        <v>5.7</v>
      </c>
      <c r="AC1257" s="1186">
        <v>20.8</v>
      </c>
      <c r="AD1257" s="1187">
        <v>3.5</v>
      </c>
    </row>
    <row r="1258" spans="1:30" x14ac:dyDescent="0.2">
      <c r="A1258">
        <f t="shared" si="53"/>
        <v>32</v>
      </c>
      <c r="B1258">
        <v>1249</v>
      </c>
      <c r="C1258" s="1078">
        <v>3</v>
      </c>
      <c r="D1258" s="1077" t="s">
        <v>4530</v>
      </c>
      <c r="E1258" s="1077" t="s">
        <v>4395</v>
      </c>
      <c r="F1258" s="1185">
        <v>1</v>
      </c>
      <c r="G1258" s="1186"/>
      <c r="H1258" s="1186"/>
      <c r="I1258" s="1186"/>
      <c r="J1258" s="1186"/>
      <c r="K1258" s="1186"/>
      <c r="L1258" s="1186"/>
      <c r="M1258" s="1186"/>
      <c r="N1258" s="1186"/>
      <c r="O1258" s="1186"/>
      <c r="P1258" s="1186"/>
      <c r="Q1258" s="1186"/>
      <c r="R1258" s="1186"/>
      <c r="S1258" s="1186"/>
      <c r="T1258" s="1186"/>
      <c r="U1258" s="1186"/>
      <c r="V1258" s="1186"/>
      <c r="W1258" s="1186">
        <v>22.946000000000002</v>
      </c>
      <c r="X1258" s="1186">
        <v>4.3099999999999996</v>
      </c>
      <c r="Y1258" s="1186">
        <v>21.5</v>
      </c>
      <c r="Z1258" s="1186">
        <v>2.9</v>
      </c>
      <c r="AA1258" s="1186">
        <v>28.5</v>
      </c>
      <c r="AB1258" s="1186">
        <v>5.4</v>
      </c>
      <c r="AC1258" s="1186">
        <v>26.5</v>
      </c>
      <c r="AD1258" s="1187">
        <v>3.5</v>
      </c>
    </row>
    <row r="1259" spans="1:30" x14ac:dyDescent="0.2">
      <c r="A1259">
        <f t="shared" si="53"/>
        <v>32</v>
      </c>
      <c r="B1259">
        <v>1250</v>
      </c>
      <c r="C1259" s="1078">
        <v>3</v>
      </c>
      <c r="D1259" s="1077" t="s">
        <v>4530</v>
      </c>
      <c r="E1259" s="1077" t="s">
        <v>4396</v>
      </c>
      <c r="F1259" s="1185">
        <v>2</v>
      </c>
      <c r="G1259" s="1186"/>
      <c r="H1259" s="1186"/>
      <c r="I1259" s="1186"/>
      <c r="J1259" s="1186"/>
      <c r="K1259" s="1186"/>
      <c r="L1259" s="1186"/>
      <c r="M1259" s="1186"/>
      <c r="N1259" s="1186"/>
      <c r="O1259" s="1186"/>
      <c r="P1259" s="1186"/>
      <c r="Q1259" s="1186"/>
      <c r="R1259" s="1186"/>
      <c r="S1259" s="1186"/>
      <c r="T1259" s="1186"/>
      <c r="U1259" s="1186"/>
      <c r="V1259" s="1186"/>
      <c r="W1259" s="1186">
        <v>26.2</v>
      </c>
      <c r="X1259" s="1186">
        <v>4.7</v>
      </c>
      <c r="Y1259" s="1186">
        <v>24.8</v>
      </c>
      <c r="Z1259" s="1186">
        <v>3.07</v>
      </c>
      <c r="AA1259" s="1186">
        <v>34.799999999999997</v>
      </c>
      <c r="AB1259" s="1186">
        <v>6.2</v>
      </c>
      <c r="AC1259" s="1186">
        <v>31.8</v>
      </c>
      <c r="AD1259" s="1187">
        <v>3.7</v>
      </c>
    </row>
    <row r="1260" spans="1:30" x14ac:dyDescent="0.2">
      <c r="A1260">
        <f t="shared" si="53"/>
        <v>32</v>
      </c>
      <c r="B1260">
        <v>1251</v>
      </c>
      <c r="C1260" s="1078">
        <v>3</v>
      </c>
      <c r="D1260" s="1077" t="s">
        <v>4530</v>
      </c>
      <c r="E1260" s="1077" t="s">
        <v>4397</v>
      </c>
      <c r="F1260" s="1185">
        <v>2</v>
      </c>
      <c r="G1260" s="1186"/>
      <c r="H1260" s="1186"/>
      <c r="I1260" s="1186"/>
      <c r="J1260" s="1186"/>
      <c r="K1260" s="1186"/>
      <c r="L1260" s="1186"/>
      <c r="M1260" s="1186"/>
      <c r="N1260" s="1186"/>
      <c r="O1260" s="1186"/>
      <c r="P1260" s="1186"/>
      <c r="Q1260" s="1186"/>
      <c r="R1260" s="1186"/>
      <c r="S1260" s="1186"/>
      <c r="T1260" s="1186"/>
      <c r="U1260" s="1186"/>
      <c r="V1260" s="1186"/>
      <c r="W1260" s="1186">
        <v>34.799999999999997</v>
      </c>
      <c r="X1260" s="1186">
        <v>4.9000000000000004</v>
      </c>
      <c r="Y1260" s="1186">
        <v>32.1</v>
      </c>
      <c r="Z1260" s="1186">
        <v>3.01</v>
      </c>
      <c r="AA1260" s="1186">
        <v>46</v>
      </c>
      <c r="AB1260" s="1186">
        <v>6.2</v>
      </c>
      <c r="AC1260" s="1186">
        <v>41.8</v>
      </c>
      <c r="AD1260" s="1187">
        <v>3.7</v>
      </c>
    </row>
    <row r="1261" spans="1:30" x14ac:dyDescent="0.2">
      <c r="A1261">
        <f t="shared" si="53"/>
        <v>32</v>
      </c>
      <c r="B1261">
        <v>1252</v>
      </c>
      <c r="C1261" s="1078">
        <v>3</v>
      </c>
      <c r="D1261" s="1077" t="s">
        <v>4530</v>
      </c>
      <c r="E1261" s="1077" t="s">
        <v>4398</v>
      </c>
      <c r="F1261" s="1185">
        <v>2</v>
      </c>
      <c r="G1261" s="1186"/>
      <c r="H1261" s="1186"/>
      <c r="I1261" s="1186"/>
      <c r="J1261" s="1186"/>
      <c r="K1261" s="1186"/>
      <c r="L1261" s="1186"/>
      <c r="M1261" s="1186"/>
      <c r="N1261" s="1186"/>
      <c r="O1261" s="1186"/>
      <c r="P1261" s="1186"/>
      <c r="Q1261" s="1186"/>
      <c r="R1261" s="1186"/>
      <c r="S1261" s="1186"/>
      <c r="T1261" s="1186"/>
      <c r="U1261" s="1186"/>
      <c r="V1261" s="1186"/>
      <c r="W1261" s="1186">
        <v>52</v>
      </c>
      <c r="X1261" s="1186">
        <v>5</v>
      </c>
      <c r="Y1261" s="1186">
        <v>44.1</v>
      </c>
      <c r="Z1261" s="1186">
        <v>2.78</v>
      </c>
      <c r="AA1261" s="1186">
        <v>68.099999999999994</v>
      </c>
      <c r="AB1261" s="1186">
        <v>6.6</v>
      </c>
      <c r="AC1261" s="1186">
        <v>59.2</v>
      </c>
      <c r="AD1261" s="1187">
        <v>4.03</v>
      </c>
    </row>
    <row r="1262" spans="1:30" x14ac:dyDescent="0.2">
      <c r="A1262">
        <f t="shared" si="53"/>
        <v>32</v>
      </c>
      <c r="B1262">
        <v>1253</v>
      </c>
      <c r="C1262" s="1078">
        <v>3</v>
      </c>
      <c r="D1262" s="1077" t="s">
        <v>4530</v>
      </c>
      <c r="E1262" s="1077" t="s">
        <v>4386</v>
      </c>
      <c r="F1262" s="1185">
        <v>1</v>
      </c>
      <c r="G1262" s="1186"/>
      <c r="H1262" s="1186"/>
      <c r="I1262" s="1186"/>
      <c r="J1262" s="1186"/>
      <c r="K1262" s="1186"/>
      <c r="L1262" s="1186"/>
      <c r="M1262" s="1186"/>
      <c r="N1262" s="1186"/>
      <c r="O1262" s="1186"/>
      <c r="P1262" s="1186"/>
      <c r="Q1262" s="1186"/>
      <c r="R1262" s="1186"/>
      <c r="S1262" s="1186"/>
      <c r="T1262" s="1186"/>
      <c r="U1262" s="1186"/>
      <c r="V1262" s="1186"/>
      <c r="W1262" s="1186">
        <v>6.06</v>
      </c>
      <c r="X1262" s="1186">
        <v>4.66</v>
      </c>
      <c r="Y1262" s="1186">
        <v>5.53</v>
      </c>
      <c r="Z1262" s="1186">
        <v>2.81</v>
      </c>
      <c r="AA1262" s="1186">
        <v>7.9</v>
      </c>
      <c r="AB1262" s="1186">
        <v>5.9</v>
      </c>
      <c r="AC1262" s="1186">
        <v>7.2</v>
      </c>
      <c r="AD1262" s="1187">
        <v>3.5</v>
      </c>
    </row>
    <row r="1263" spans="1:30" x14ac:dyDescent="0.2">
      <c r="A1263">
        <f t="shared" si="53"/>
        <v>32</v>
      </c>
      <c r="B1263">
        <v>1254</v>
      </c>
      <c r="C1263" s="1078">
        <v>3</v>
      </c>
      <c r="D1263" s="1077" t="s">
        <v>4530</v>
      </c>
      <c r="E1263" s="1077" t="s">
        <v>4399</v>
      </c>
      <c r="F1263" s="1185">
        <v>2</v>
      </c>
      <c r="G1263" s="1186"/>
      <c r="H1263" s="1186"/>
      <c r="I1263" s="1186"/>
      <c r="J1263" s="1186"/>
      <c r="K1263" s="1186"/>
      <c r="L1263" s="1186"/>
      <c r="M1263" s="1186"/>
      <c r="N1263" s="1186"/>
      <c r="O1263" s="1186"/>
      <c r="P1263" s="1186"/>
      <c r="Q1263" s="1186"/>
      <c r="R1263" s="1186"/>
      <c r="S1263" s="1186"/>
      <c r="T1263" s="1186"/>
      <c r="U1263" s="1186"/>
      <c r="V1263" s="1186"/>
      <c r="W1263" s="1186">
        <v>73.55</v>
      </c>
      <c r="X1263" s="1186">
        <v>4.8</v>
      </c>
      <c r="Y1263" s="1186">
        <v>67.290000000000006</v>
      </c>
      <c r="Z1263" s="1186">
        <v>3</v>
      </c>
      <c r="AA1263" s="1186">
        <v>96.3</v>
      </c>
      <c r="AB1263" s="1186">
        <v>5.9</v>
      </c>
      <c r="AC1263" s="1186">
        <v>86.8</v>
      </c>
      <c r="AD1263" s="1187">
        <v>3.7</v>
      </c>
    </row>
    <row r="1264" spans="1:30" x14ac:dyDescent="0.2">
      <c r="A1264">
        <f t="shared" si="53"/>
        <v>32</v>
      </c>
      <c r="B1264">
        <v>1255</v>
      </c>
      <c r="C1264" s="1078">
        <v>3</v>
      </c>
      <c r="D1264" s="1077" t="s">
        <v>4530</v>
      </c>
      <c r="E1264" s="1077" t="s">
        <v>4388</v>
      </c>
      <c r="F1264" s="1185">
        <v>1</v>
      </c>
      <c r="G1264" s="1186"/>
      <c r="H1264" s="1186"/>
      <c r="I1264" s="1186"/>
      <c r="J1264" s="1186"/>
      <c r="K1264" s="1186"/>
      <c r="L1264" s="1186"/>
      <c r="M1264" s="1186"/>
      <c r="N1264" s="1186"/>
      <c r="O1264" s="1186"/>
      <c r="P1264" s="1186"/>
      <c r="Q1264" s="1186"/>
      <c r="R1264" s="1186"/>
      <c r="S1264" s="1186"/>
      <c r="T1264" s="1186"/>
      <c r="U1264" s="1186"/>
      <c r="V1264" s="1186"/>
      <c r="W1264" s="1186">
        <v>8.1189999999999998</v>
      </c>
      <c r="X1264" s="1186">
        <v>4.843</v>
      </c>
      <c r="Y1264" s="1186">
        <v>7.2030000000000003</v>
      </c>
      <c r="Z1264" s="1186">
        <v>2.8359999999999999</v>
      </c>
      <c r="AA1264" s="1186">
        <v>10.4</v>
      </c>
      <c r="AB1264" s="1186">
        <v>6.3</v>
      </c>
      <c r="AC1264" s="1186">
        <v>9.3000000000000007</v>
      </c>
      <c r="AD1264" s="1187">
        <v>3.5</v>
      </c>
    </row>
    <row r="1265" spans="1:30" x14ac:dyDescent="0.2">
      <c r="A1265">
        <f t="shared" si="53"/>
        <v>32</v>
      </c>
      <c r="B1265">
        <v>1256</v>
      </c>
      <c r="C1265" s="1078">
        <v>3</v>
      </c>
      <c r="D1265" s="1077" t="s">
        <v>4530</v>
      </c>
      <c r="E1265" s="1077" t="s">
        <v>4706</v>
      </c>
      <c r="F1265" s="1185">
        <v>2</v>
      </c>
      <c r="G1265" s="1186"/>
      <c r="H1265" s="1186"/>
      <c r="I1265" s="1186"/>
      <c r="J1265" s="1186"/>
      <c r="K1265" s="1186"/>
      <c r="L1265" s="1186"/>
      <c r="M1265" s="1186"/>
      <c r="N1265" s="1186"/>
      <c r="O1265" s="1186"/>
      <c r="P1265" s="1186"/>
      <c r="Q1265" s="1186"/>
      <c r="R1265" s="1186"/>
      <c r="S1265" s="1186"/>
      <c r="T1265" s="1186"/>
      <c r="U1265" s="1186"/>
      <c r="V1265" s="1186"/>
      <c r="W1265" s="1186">
        <v>86.2</v>
      </c>
      <c r="X1265" s="1186">
        <v>4.5999999999999996</v>
      </c>
      <c r="Y1265" s="1186">
        <v>78.8</v>
      </c>
      <c r="Z1265" s="1186">
        <v>3.01</v>
      </c>
      <c r="AA1265" s="1186">
        <v>114.1</v>
      </c>
      <c r="AB1265" s="1186">
        <v>5.8</v>
      </c>
      <c r="AC1265" s="1186">
        <v>103.8</v>
      </c>
      <c r="AD1265" s="1187">
        <v>3.9</v>
      </c>
    </row>
    <row r="1266" spans="1:30" x14ac:dyDescent="0.2">
      <c r="A1266">
        <f t="shared" si="53"/>
        <v>32</v>
      </c>
      <c r="B1266">
        <v>1257</v>
      </c>
      <c r="C1266" s="1078">
        <v>3</v>
      </c>
      <c r="D1266" s="1077" t="s">
        <v>4530</v>
      </c>
      <c r="E1266" s="1077" t="s">
        <v>4394</v>
      </c>
      <c r="F1266" s="1185">
        <v>2</v>
      </c>
      <c r="G1266" s="1186"/>
      <c r="H1266" s="1186"/>
      <c r="I1266" s="1186"/>
      <c r="J1266" s="1186"/>
      <c r="K1266" s="1186"/>
      <c r="L1266" s="1186"/>
      <c r="M1266" s="1186"/>
      <c r="N1266" s="1186"/>
      <c r="O1266" s="1186"/>
      <c r="P1266" s="1186"/>
      <c r="Q1266" s="1186"/>
      <c r="R1266" s="1186"/>
      <c r="S1266" s="1186"/>
      <c r="T1266" s="1186"/>
      <c r="U1266" s="1186"/>
      <c r="V1266" s="1186"/>
      <c r="W1266" s="1186">
        <v>21.332000000000001</v>
      </c>
      <c r="X1266" s="1186">
        <v>4.3499999999999996</v>
      </c>
      <c r="Y1266" s="1186">
        <v>20.434999999999999</v>
      </c>
      <c r="Z1266" s="1186">
        <v>2.75</v>
      </c>
      <c r="AA1266" s="1186">
        <v>28.3</v>
      </c>
      <c r="AB1266" s="1186">
        <v>6</v>
      </c>
      <c r="AC1266" s="1186">
        <v>27.7</v>
      </c>
      <c r="AD1266" s="1187">
        <v>3.1</v>
      </c>
    </row>
    <row r="1267" spans="1:30" x14ac:dyDescent="0.2">
      <c r="A1267">
        <f t="shared" si="53"/>
        <v>32</v>
      </c>
      <c r="B1267">
        <v>1258</v>
      </c>
      <c r="C1267" s="1078">
        <v>3</v>
      </c>
      <c r="D1267" s="1077" t="s">
        <v>4530</v>
      </c>
      <c r="E1267" s="1077" t="s">
        <v>4708</v>
      </c>
      <c r="F1267" s="1185">
        <v>2</v>
      </c>
      <c r="G1267" s="1186"/>
      <c r="H1267" s="1186"/>
      <c r="I1267" s="1186"/>
      <c r="J1267" s="1186"/>
      <c r="K1267" s="1186"/>
      <c r="L1267" s="1186"/>
      <c r="M1267" s="1186"/>
      <c r="N1267" s="1186"/>
      <c r="O1267" s="1186"/>
      <c r="P1267" s="1186"/>
      <c r="Q1267" s="1186"/>
      <c r="R1267" s="1186"/>
      <c r="S1267" s="1186"/>
      <c r="T1267" s="1186"/>
      <c r="U1267" s="1186"/>
      <c r="V1267" s="1186"/>
      <c r="W1267" s="1186">
        <v>88.6</v>
      </c>
      <c r="X1267" s="1186">
        <v>4.3</v>
      </c>
      <c r="Y1267" s="1186">
        <v>84.1</v>
      </c>
      <c r="Z1267" s="1186">
        <v>2.4</v>
      </c>
      <c r="AA1267" s="1186">
        <v>118.2</v>
      </c>
      <c r="AB1267" s="1186">
        <v>5.4</v>
      </c>
      <c r="AC1267" s="1186">
        <v>114.5</v>
      </c>
      <c r="AD1267" s="1187">
        <v>3.2</v>
      </c>
    </row>
    <row r="1268" spans="1:30" x14ac:dyDescent="0.2">
      <c r="A1268">
        <f t="shared" si="53"/>
        <v>32</v>
      </c>
      <c r="B1268">
        <v>1259</v>
      </c>
      <c r="C1268" s="1078">
        <v>3</v>
      </c>
      <c r="D1268" s="1077" t="s">
        <v>4530</v>
      </c>
      <c r="E1268" s="1077" t="s">
        <v>4389</v>
      </c>
      <c r="F1268" s="1185">
        <v>1</v>
      </c>
      <c r="G1268" s="1186"/>
      <c r="H1268" s="1186"/>
      <c r="I1268" s="1186"/>
      <c r="J1268" s="1186"/>
      <c r="K1268" s="1186"/>
      <c r="L1268" s="1186"/>
      <c r="M1268" s="1186"/>
      <c r="N1268" s="1186"/>
      <c r="O1268" s="1186"/>
      <c r="P1268" s="1186"/>
      <c r="Q1268" s="1186"/>
      <c r="R1268" s="1186"/>
      <c r="S1268" s="1186"/>
      <c r="T1268" s="1186"/>
      <c r="U1268" s="1186"/>
      <c r="V1268" s="1186"/>
      <c r="W1268" s="1186">
        <v>10.62</v>
      </c>
      <c r="X1268" s="1186">
        <v>4.99</v>
      </c>
      <c r="Y1268" s="1186">
        <v>9.82</v>
      </c>
      <c r="Z1268" s="1186">
        <v>3.06</v>
      </c>
      <c r="AA1268" s="1186">
        <v>13.8</v>
      </c>
      <c r="AB1268" s="1186">
        <v>6.6</v>
      </c>
      <c r="AC1268" s="1186">
        <v>12.6</v>
      </c>
      <c r="AD1268" s="1187">
        <v>3.8</v>
      </c>
    </row>
    <row r="1269" spans="1:30" x14ac:dyDescent="0.2">
      <c r="A1269">
        <f t="shared" si="53"/>
        <v>32</v>
      </c>
      <c r="B1269">
        <v>1260</v>
      </c>
      <c r="C1269" s="1078">
        <v>3</v>
      </c>
      <c r="D1269" s="1077" t="s">
        <v>4530</v>
      </c>
      <c r="E1269" s="1077" t="s">
        <v>4391</v>
      </c>
      <c r="F1269" s="1185">
        <v>1</v>
      </c>
      <c r="G1269" s="1186"/>
      <c r="H1269" s="1186"/>
      <c r="I1269" s="1186"/>
      <c r="J1269" s="1186"/>
      <c r="K1269" s="1186"/>
      <c r="L1269" s="1186"/>
      <c r="M1269" s="1186"/>
      <c r="N1269" s="1186"/>
      <c r="O1269" s="1186"/>
      <c r="P1269" s="1186"/>
      <c r="Q1269" s="1186"/>
      <c r="R1269" s="1186"/>
      <c r="S1269" s="1186"/>
      <c r="T1269" s="1186"/>
      <c r="U1269" s="1186"/>
      <c r="V1269" s="1186"/>
      <c r="W1269" s="1186">
        <v>13.07</v>
      </c>
      <c r="X1269" s="1186">
        <v>4.7</v>
      </c>
      <c r="Y1269" s="1186">
        <v>12.18</v>
      </c>
      <c r="Z1269" s="1186">
        <v>2.99</v>
      </c>
      <c r="AA1269" s="1186">
        <v>17.100000000000001</v>
      </c>
      <c r="AB1269" s="1186">
        <v>6.1</v>
      </c>
      <c r="AC1269" s="1186">
        <v>15.9</v>
      </c>
      <c r="AD1269" s="1187">
        <v>3.8</v>
      </c>
    </row>
    <row r="1270" spans="1:30" x14ac:dyDescent="0.2">
      <c r="A1270">
        <f t="shared" si="53"/>
        <v>32</v>
      </c>
      <c r="B1270">
        <v>1261</v>
      </c>
      <c r="C1270" s="1078">
        <v>3</v>
      </c>
      <c r="D1270" s="1077" t="s">
        <v>4530</v>
      </c>
      <c r="E1270" s="1077" t="s">
        <v>4385</v>
      </c>
      <c r="F1270" s="1185">
        <v>1</v>
      </c>
      <c r="G1270" s="1186"/>
      <c r="H1270" s="1186"/>
      <c r="I1270" s="1186"/>
      <c r="J1270" s="1186"/>
      <c r="K1270" s="1186"/>
      <c r="L1270" s="1186"/>
      <c r="M1270" s="1186"/>
      <c r="N1270" s="1186"/>
      <c r="O1270" s="1186"/>
      <c r="P1270" s="1186"/>
      <c r="Q1270" s="1186"/>
      <c r="R1270" s="1186"/>
      <c r="S1270" s="1186"/>
      <c r="T1270" s="1186"/>
      <c r="U1270" s="1186"/>
      <c r="V1270" s="1186"/>
      <c r="W1270" s="1186">
        <v>5.84</v>
      </c>
      <c r="X1270" s="1186">
        <v>4.6900000000000004</v>
      </c>
      <c r="Y1270" s="1186">
        <v>5.39</v>
      </c>
      <c r="Z1270" s="1186">
        <v>2.86</v>
      </c>
      <c r="AA1270" s="1186">
        <v>7.6</v>
      </c>
      <c r="AB1270" s="1186">
        <v>6.1</v>
      </c>
      <c r="AC1270" s="1186">
        <v>7.02</v>
      </c>
      <c r="AD1270" s="1187">
        <v>3.6</v>
      </c>
    </row>
    <row r="1271" spans="1:30" x14ac:dyDescent="0.2">
      <c r="A1271">
        <f t="shared" si="53"/>
        <v>32</v>
      </c>
      <c r="B1271">
        <v>1262</v>
      </c>
      <c r="C1271" s="1078">
        <v>3</v>
      </c>
      <c r="D1271" s="1077" t="s">
        <v>4530</v>
      </c>
      <c r="E1271" s="1077" t="s">
        <v>4387</v>
      </c>
      <c r="F1271" s="1185">
        <v>1</v>
      </c>
      <c r="G1271" s="1186"/>
      <c r="H1271" s="1186"/>
      <c r="I1271" s="1186"/>
      <c r="J1271" s="1186"/>
      <c r="K1271" s="1186"/>
      <c r="L1271" s="1186"/>
      <c r="M1271" s="1186"/>
      <c r="N1271" s="1186"/>
      <c r="O1271" s="1186"/>
      <c r="P1271" s="1186"/>
      <c r="Q1271" s="1186"/>
      <c r="R1271" s="1186"/>
      <c r="S1271" s="1186"/>
      <c r="T1271" s="1186"/>
      <c r="U1271" s="1186"/>
      <c r="V1271" s="1186"/>
      <c r="W1271" s="1186">
        <v>7.79</v>
      </c>
      <c r="X1271" s="1186">
        <v>4.84</v>
      </c>
      <c r="Y1271" s="1186">
        <v>7.07</v>
      </c>
      <c r="Z1271" s="1186">
        <v>2.89</v>
      </c>
      <c r="AA1271" s="1186">
        <v>10.039999999999999</v>
      </c>
      <c r="AB1271" s="1186">
        <v>6.3</v>
      </c>
      <c r="AC1271" s="1186">
        <v>9.1</v>
      </c>
      <c r="AD1271" s="1187">
        <v>3.7</v>
      </c>
    </row>
    <row r="1272" spans="1:30" x14ac:dyDescent="0.2">
      <c r="A1272">
        <f t="shared" si="53"/>
        <v>32</v>
      </c>
      <c r="B1272">
        <v>1263</v>
      </c>
      <c r="C1272" s="1078">
        <v>2</v>
      </c>
      <c r="D1272" s="1077" t="s">
        <v>4530</v>
      </c>
      <c r="E1272" s="1077" t="s">
        <v>5599</v>
      </c>
      <c r="F1272" s="1185">
        <v>4</v>
      </c>
      <c r="G1272" s="1186">
        <v>3.2</v>
      </c>
      <c r="H1272" s="1186">
        <v>2.5</v>
      </c>
      <c r="I1272" s="1186">
        <v>6</v>
      </c>
      <c r="J1272" s="1186">
        <v>3.03</v>
      </c>
      <c r="K1272" s="1186">
        <v>4.2</v>
      </c>
      <c r="L1272" s="1186">
        <v>4.16</v>
      </c>
      <c r="M1272" s="1186">
        <v>4.7</v>
      </c>
      <c r="N1272" s="1186">
        <v>4.76</v>
      </c>
      <c r="O1272" s="1186">
        <v>6.5</v>
      </c>
      <c r="P1272" s="1186">
        <v>6.4</v>
      </c>
      <c r="Q1272" s="1186">
        <v>5.66</v>
      </c>
      <c r="R1272" s="1186">
        <v>2</v>
      </c>
      <c r="S1272" s="1186">
        <v>5.4</v>
      </c>
      <c r="T1272" s="1186">
        <v>2.92</v>
      </c>
      <c r="U1272" s="1186">
        <v>6.88</v>
      </c>
      <c r="V1272" s="1186">
        <v>3.25</v>
      </c>
      <c r="W1272" s="1186"/>
      <c r="X1272" s="1186"/>
      <c r="Y1272" s="1186"/>
      <c r="Z1272" s="1186"/>
      <c r="AA1272" s="1186"/>
      <c r="AB1272" s="1186"/>
      <c r="AC1272" s="1186"/>
      <c r="AD1272" s="1187"/>
    </row>
    <row r="1273" spans="1:30" x14ac:dyDescent="0.2">
      <c r="A1273">
        <f t="shared" si="53"/>
        <v>32</v>
      </c>
      <c r="B1273">
        <v>1264</v>
      </c>
      <c r="C1273" s="1078">
        <v>2</v>
      </c>
      <c r="D1273" s="1077" t="s">
        <v>4530</v>
      </c>
      <c r="E1273" s="1077" t="s">
        <v>5600</v>
      </c>
      <c r="F1273" s="1185">
        <v>4</v>
      </c>
      <c r="G1273" s="1186">
        <v>7.6</v>
      </c>
      <c r="H1273" s="1186">
        <v>2.4</v>
      </c>
      <c r="I1273" s="1186">
        <v>9.4</v>
      </c>
      <c r="J1273" s="1186">
        <v>3.03</v>
      </c>
      <c r="K1273" s="1186">
        <v>6.5</v>
      </c>
      <c r="L1273" s="1186">
        <v>4.33</v>
      </c>
      <c r="M1273" s="1186">
        <v>6.9</v>
      </c>
      <c r="N1273" s="1186">
        <v>4.96</v>
      </c>
      <c r="O1273" s="1186">
        <v>8.3000000000000007</v>
      </c>
      <c r="P1273" s="1186">
        <v>6.2</v>
      </c>
      <c r="Q1273" s="1186">
        <v>8.81</v>
      </c>
      <c r="R1273" s="1186">
        <v>1.87</v>
      </c>
      <c r="S1273" s="1186">
        <v>6.94</v>
      </c>
      <c r="T1273" s="1186">
        <v>3.01</v>
      </c>
      <c r="U1273" s="1186">
        <v>13.83</v>
      </c>
      <c r="V1273" s="1186">
        <v>3.38</v>
      </c>
      <c r="W1273" s="1186"/>
      <c r="X1273" s="1186"/>
      <c r="Y1273" s="1186"/>
      <c r="Z1273" s="1186"/>
      <c r="AA1273" s="1186"/>
      <c r="AB1273" s="1186"/>
      <c r="AC1273" s="1186"/>
      <c r="AD1273" s="1187"/>
    </row>
    <row r="1274" spans="1:30" x14ac:dyDescent="0.2">
      <c r="A1274">
        <f t="shared" si="53"/>
        <v>32</v>
      </c>
      <c r="B1274">
        <v>1265</v>
      </c>
      <c r="C1274" s="1078">
        <v>2</v>
      </c>
      <c r="D1274" s="1077" t="s">
        <v>4530</v>
      </c>
      <c r="E1274" s="1077" t="s">
        <v>5601</v>
      </c>
      <c r="F1274" s="1185">
        <v>4</v>
      </c>
      <c r="G1274" s="1186">
        <v>8.6999999999999993</v>
      </c>
      <c r="H1274" s="1186">
        <v>2.6</v>
      </c>
      <c r="I1274" s="1186">
        <v>10.7</v>
      </c>
      <c r="J1274" s="1186">
        <v>3.1</v>
      </c>
      <c r="K1274" s="1186">
        <v>6</v>
      </c>
      <c r="L1274" s="1186">
        <v>4.2</v>
      </c>
      <c r="M1274" s="1186">
        <v>7.1</v>
      </c>
      <c r="N1274" s="1186">
        <v>5.0999999999999996</v>
      </c>
      <c r="O1274" s="1186">
        <v>8.4</v>
      </c>
      <c r="P1274" s="1186">
        <v>6.1</v>
      </c>
      <c r="Q1274" s="1186">
        <v>9.4</v>
      </c>
      <c r="R1274" s="1186">
        <v>2</v>
      </c>
      <c r="S1274" s="1186">
        <v>7.1</v>
      </c>
      <c r="T1274" s="1186">
        <v>3.2</v>
      </c>
      <c r="U1274" s="1186">
        <v>13.2</v>
      </c>
      <c r="V1274" s="1186">
        <v>3.6</v>
      </c>
      <c r="W1274" s="1186"/>
      <c r="X1274" s="1186"/>
      <c r="Y1274" s="1186"/>
      <c r="Z1274" s="1186"/>
      <c r="AA1274" s="1186"/>
      <c r="AB1274" s="1186"/>
      <c r="AC1274" s="1186"/>
      <c r="AD1274" s="1187"/>
    </row>
    <row r="1275" spans="1:30" x14ac:dyDescent="0.2">
      <c r="A1275">
        <f t="shared" si="53"/>
        <v>32</v>
      </c>
      <c r="B1275">
        <v>1266</v>
      </c>
      <c r="C1275" s="1078">
        <v>2</v>
      </c>
      <c r="D1275" s="1077" t="s">
        <v>4530</v>
      </c>
      <c r="E1275" s="1077" t="s">
        <v>5185</v>
      </c>
      <c r="F1275" s="1185">
        <v>2</v>
      </c>
      <c r="G1275" s="1186">
        <v>18.5</v>
      </c>
      <c r="H1275" s="1186">
        <v>2.78</v>
      </c>
      <c r="I1275" s="1186">
        <v>22.3</v>
      </c>
      <c r="J1275" s="1186">
        <v>3.1</v>
      </c>
      <c r="K1275" s="1186">
        <v>14.21</v>
      </c>
      <c r="L1275" s="1186">
        <v>3.59</v>
      </c>
      <c r="M1275" s="1186">
        <v>17.63</v>
      </c>
      <c r="N1275" s="1186">
        <v>4.33</v>
      </c>
      <c r="O1275" s="1186">
        <v>23.5</v>
      </c>
      <c r="P1275" s="1186">
        <v>5.35</v>
      </c>
      <c r="Q1275" s="1186">
        <v>21.8</v>
      </c>
      <c r="R1275" s="1186">
        <v>2.34</v>
      </c>
      <c r="S1275" s="1186">
        <v>17.37</v>
      </c>
      <c r="T1275" s="1186">
        <v>3.11</v>
      </c>
      <c r="U1275" s="1186">
        <v>21.73</v>
      </c>
      <c r="V1275" s="1186">
        <v>3.9</v>
      </c>
      <c r="W1275" s="1186"/>
      <c r="X1275" s="1186"/>
      <c r="Y1275" s="1186"/>
      <c r="Z1275" s="1186"/>
      <c r="AA1275" s="1186"/>
      <c r="AB1275" s="1186"/>
      <c r="AC1275" s="1186"/>
      <c r="AD1275" s="1187"/>
    </row>
    <row r="1276" spans="1:30" x14ac:dyDescent="0.2">
      <c r="A1276">
        <f t="shared" si="53"/>
        <v>32</v>
      </c>
      <c r="B1276">
        <v>1267</v>
      </c>
      <c r="C1276" s="1078">
        <v>2</v>
      </c>
      <c r="D1276" s="1077" t="s">
        <v>4530</v>
      </c>
      <c r="E1276" s="1077" t="s">
        <v>5183</v>
      </c>
      <c r="F1276" s="1185">
        <v>2</v>
      </c>
      <c r="G1276" s="1186">
        <v>31.7</v>
      </c>
      <c r="H1276" s="1186">
        <v>2.6</v>
      </c>
      <c r="I1276" s="1186">
        <v>38</v>
      </c>
      <c r="J1276" s="1186">
        <v>3</v>
      </c>
      <c r="K1276" s="1186">
        <v>26.6</v>
      </c>
      <c r="L1276" s="1186">
        <v>3.6</v>
      </c>
      <c r="M1276" s="1186">
        <v>35.299999999999997</v>
      </c>
      <c r="N1276" s="1186">
        <v>4.5</v>
      </c>
      <c r="O1276" s="1186">
        <v>44.4</v>
      </c>
      <c r="P1276" s="1186">
        <v>5.25</v>
      </c>
      <c r="Q1276" s="1186">
        <v>36.799999999999997</v>
      </c>
      <c r="R1276" s="1186">
        <v>2.2999999999999998</v>
      </c>
      <c r="S1276" s="1186">
        <v>31.7</v>
      </c>
      <c r="T1276" s="1186">
        <v>3.2</v>
      </c>
      <c r="U1276" s="1186">
        <v>40.5</v>
      </c>
      <c r="V1276" s="1186">
        <v>3.9</v>
      </c>
      <c r="W1276" s="1186"/>
      <c r="X1276" s="1186"/>
      <c r="Y1276" s="1186"/>
      <c r="Z1276" s="1186"/>
      <c r="AA1276" s="1186"/>
      <c r="AB1276" s="1186"/>
      <c r="AC1276" s="1186"/>
      <c r="AD1276" s="1187"/>
    </row>
    <row r="1277" spans="1:30" x14ac:dyDescent="0.2">
      <c r="A1277">
        <f t="shared" si="53"/>
        <v>32</v>
      </c>
      <c r="B1277">
        <v>1268</v>
      </c>
      <c r="C1277" s="1078">
        <v>2</v>
      </c>
      <c r="D1277" s="1077" t="s">
        <v>4530</v>
      </c>
      <c r="E1277" s="1077" t="s">
        <v>5186</v>
      </c>
      <c r="F1277" s="1185">
        <v>2</v>
      </c>
      <c r="G1277" s="1186">
        <v>16</v>
      </c>
      <c r="H1277" s="1186">
        <v>2.6</v>
      </c>
      <c r="I1277" s="1186">
        <v>19.899999999999999</v>
      </c>
      <c r="J1277" s="1186">
        <v>3.1</v>
      </c>
      <c r="K1277" s="1186">
        <v>13.3</v>
      </c>
      <c r="L1277" s="1186">
        <v>4</v>
      </c>
      <c r="M1277" s="1186">
        <v>16.2</v>
      </c>
      <c r="N1277" s="1186">
        <v>4.9000000000000004</v>
      </c>
      <c r="O1277" s="1186">
        <v>23.2</v>
      </c>
      <c r="P1277" s="1186">
        <v>6.8</v>
      </c>
      <c r="Q1277" s="1186">
        <v>19.7</v>
      </c>
      <c r="R1277" s="1186">
        <v>2.2999999999999998</v>
      </c>
      <c r="S1277" s="1186">
        <v>15.4</v>
      </c>
      <c r="T1277" s="1186">
        <v>3.4</v>
      </c>
      <c r="U1277" s="1186">
        <v>21.2</v>
      </c>
      <c r="V1277" s="1186">
        <v>4.7</v>
      </c>
      <c r="W1277" s="1186"/>
      <c r="X1277" s="1186"/>
      <c r="Y1277" s="1186"/>
      <c r="Z1277" s="1186"/>
      <c r="AA1277" s="1186"/>
      <c r="AB1277" s="1186"/>
      <c r="AC1277" s="1186"/>
      <c r="AD1277" s="1187"/>
    </row>
    <row r="1278" spans="1:30" x14ac:dyDescent="0.2">
      <c r="A1278">
        <f t="shared" si="53"/>
        <v>32</v>
      </c>
      <c r="B1278">
        <v>1269</v>
      </c>
      <c r="C1278" s="1078">
        <v>2</v>
      </c>
      <c r="D1278" s="1077" t="s">
        <v>4530</v>
      </c>
      <c r="E1278" s="1077" t="s">
        <v>5182</v>
      </c>
      <c r="F1278" s="1185">
        <v>2</v>
      </c>
      <c r="G1278" s="1186">
        <v>34.6</v>
      </c>
      <c r="H1278" s="1186">
        <v>2.7</v>
      </c>
      <c r="I1278" s="1186">
        <v>42.1</v>
      </c>
      <c r="J1278" s="1186">
        <v>3.1</v>
      </c>
      <c r="K1278" s="1186">
        <v>25.7</v>
      </c>
      <c r="L1278" s="1186">
        <v>3.9</v>
      </c>
      <c r="M1278" s="1186">
        <v>33.299999999999997</v>
      </c>
      <c r="N1278" s="1186">
        <v>4.9000000000000004</v>
      </c>
      <c r="O1278" s="1186">
        <v>42.5</v>
      </c>
      <c r="P1278" s="1186">
        <v>6.4</v>
      </c>
      <c r="Q1278" s="1186">
        <v>41.5</v>
      </c>
      <c r="R1278" s="1186">
        <v>2.2999999999999998</v>
      </c>
      <c r="S1278" s="1186">
        <v>31.8</v>
      </c>
      <c r="T1278" s="1186">
        <v>3.4</v>
      </c>
      <c r="U1278" s="1186">
        <v>37.9</v>
      </c>
      <c r="V1278" s="1186">
        <v>4.2</v>
      </c>
      <c r="W1278" s="1186"/>
      <c r="X1278" s="1186"/>
      <c r="Y1278" s="1186"/>
      <c r="Z1278" s="1186"/>
      <c r="AA1278" s="1186"/>
      <c r="AB1278" s="1186"/>
      <c r="AC1278" s="1186"/>
      <c r="AD1278" s="1187"/>
    </row>
    <row r="1279" spans="1:30" x14ac:dyDescent="0.2">
      <c r="A1279">
        <f t="shared" si="53"/>
        <v>32</v>
      </c>
      <c r="B1279">
        <v>1270</v>
      </c>
      <c r="C1279" s="1078">
        <v>2</v>
      </c>
      <c r="D1279" s="1077" t="s">
        <v>4530</v>
      </c>
      <c r="E1279" s="1077" t="s">
        <v>5308</v>
      </c>
      <c r="F1279" s="1185">
        <v>2</v>
      </c>
      <c r="G1279" s="1186">
        <v>7.95</v>
      </c>
      <c r="H1279" s="1186">
        <v>2.52</v>
      </c>
      <c r="I1279" s="1186">
        <v>11.04</v>
      </c>
      <c r="J1279" s="1186">
        <v>3.28</v>
      </c>
      <c r="K1279" s="1186">
        <v>7.2549999999999999</v>
      </c>
      <c r="L1279" s="1186">
        <v>4.1900000000000004</v>
      </c>
      <c r="M1279" s="1186">
        <v>8.266</v>
      </c>
      <c r="N1279" s="1186">
        <v>4.8</v>
      </c>
      <c r="O1279" s="1186">
        <v>11.04</v>
      </c>
      <c r="P1279" s="1186">
        <v>6.56</v>
      </c>
      <c r="Q1279" s="1186">
        <v>10.76</v>
      </c>
      <c r="R1279" s="1186">
        <v>2.1800000000000002</v>
      </c>
      <c r="S1279" s="1186">
        <v>7.74</v>
      </c>
      <c r="T1279" s="1186">
        <v>3.11</v>
      </c>
      <c r="U1279" s="1186">
        <v>9.6999999999999993</v>
      </c>
      <c r="V1279" s="1186">
        <v>3.85</v>
      </c>
      <c r="W1279" s="1186"/>
      <c r="X1279" s="1186"/>
      <c r="Y1279" s="1186"/>
      <c r="Z1279" s="1186"/>
      <c r="AA1279" s="1186"/>
      <c r="AB1279" s="1186"/>
      <c r="AC1279" s="1186"/>
      <c r="AD1279" s="1187"/>
    </row>
    <row r="1280" spans="1:30" x14ac:dyDescent="0.2">
      <c r="A1280">
        <f t="shared" si="53"/>
        <v>32</v>
      </c>
      <c r="B1280">
        <v>1271</v>
      </c>
      <c r="C1280" s="1078">
        <v>2</v>
      </c>
      <c r="D1280" s="1077" t="s">
        <v>4530</v>
      </c>
      <c r="E1280" s="1077" t="s">
        <v>5309</v>
      </c>
      <c r="F1280" s="1185">
        <v>1</v>
      </c>
      <c r="G1280" s="1186">
        <v>5.6</v>
      </c>
      <c r="H1280" s="1186">
        <v>2.4</v>
      </c>
      <c r="I1280" s="1186">
        <v>7.3</v>
      </c>
      <c r="J1280" s="1186">
        <v>3.1</v>
      </c>
      <c r="K1280" s="1186">
        <v>9.5</v>
      </c>
      <c r="L1280" s="1186">
        <v>4</v>
      </c>
      <c r="M1280" s="1186">
        <v>11.26</v>
      </c>
      <c r="N1280" s="1186">
        <v>4.72</v>
      </c>
      <c r="O1280" s="1186">
        <v>14.68</v>
      </c>
      <c r="P1280" s="1186">
        <v>5.34</v>
      </c>
      <c r="Q1280" s="1186">
        <v>7.23</v>
      </c>
      <c r="R1280" s="1186">
        <v>2.1800000000000002</v>
      </c>
      <c r="S1280" s="1186">
        <v>9.9700000000000006</v>
      </c>
      <c r="T1280" s="1186">
        <v>2.96</v>
      </c>
      <c r="U1280" s="1186">
        <v>13.1</v>
      </c>
      <c r="V1280" s="1186">
        <v>3.93</v>
      </c>
      <c r="W1280" s="1186"/>
      <c r="X1280" s="1186"/>
      <c r="Y1280" s="1186"/>
      <c r="Z1280" s="1186"/>
      <c r="AA1280" s="1186"/>
      <c r="AB1280" s="1186"/>
      <c r="AC1280" s="1186"/>
      <c r="AD1280" s="1187"/>
    </row>
    <row r="1281" spans="1:30" x14ac:dyDescent="0.2">
      <c r="A1281">
        <f t="shared" si="53"/>
        <v>32</v>
      </c>
      <c r="B1281">
        <v>1272</v>
      </c>
      <c r="C1281" s="1078">
        <v>2</v>
      </c>
      <c r="D1281" s="1077" t="s">
        <v>4530</v>
      </c>
      <c r="E1281" s="1077" t="s">
        <v>5320</v>
      </c>
      <c r="F1281" s="1185">
        <v>2</v>
      </c>
      <c r="G1281" s="1186">
        <v>11.39</v>
      </c>
      <c r="H1281" s="1186">
        <v>2.67</v>
      </c>
      <c r="I1281" s="1186">
        <v>13.89</v>
      </c>
      <c r="J1281" s="1186">
        <v>3.11</v>
      </c>
      <c r="K1281" s="1186">
        <v>15.86</v>
      </c>
      <c r="L1281" s="1186">
        <v>3.7</v>
      </c>
      <c r="M1281" s="1186">
        <v>11.67</v>
      </c>
      <c r="N1281" s="1186">
        <v>5.04</v>
      </c>
      <c r="O1281" s="1186">
        <v>13.57</v>
      </c>
      <c r="P1281" s="1186">
        <v>5.93</v>
      </c>
      <c r="Q1281" s="1186">
        <v>13.19</v>
      </c>
      <c r="R1281" s="1186">
        <v>2.25</v>
      </c>
      <c r="S1281" s="1186">
        <v>10.79</v>
      </c>
      <c r="T1281" s="1186">
        <v>3.17</v>
      </c>
      <c r="U1281" s="1186">
        <v>12.23</v>
      </c>
      <c r="V1281" s="1186">
        <v>3.63</v>
      </c>
      <c r="W1281" s="1186"/>
      <c r="X1281" s="1186"/>
      <c r="Y1281" s="1186"/>
      <c r="Z1281" s="1186"/>
      <c r="AA1281" s="1186"/>
      <c r="AB1281" s="1186"/>
      <c r="AC1281" s="1186"/>
      <c r="AD1281" s="1187"/>
    </row>
    <row r="1282" spans="1:30" x14ac:dyDescent="0.2">
      <c r="A1282">
        <f t="shared" si="53"/>
        <v>32</v>
      </c>
      <c r="B1282">
        <v>1273</v>
      </c>
      <c r="C1282" s="1078">
        <v>2</v>
      </c>
      <c r="D1282" s="1077" t="s">
        <v>4530</v>
      </c>
      <c r="E1282" s="1077" t="s">
        <v>5321</v>
      </c>
      <c r="F1282" s="1185">
        <v>2</v>
      </c>
      <c r="G1282" s="1186">
        <v>13.74</v>
      </c>
      <c r="H1282" s="1186">
        <v>2.6</v>
      </c>
      <c r="I1282" s="1186">
        <v>18.350000000000001</v>
      </c>
      <c r="J1282" s="1186">
        <v>3.24</v>
      </c>
      <c r="K1282" s="1186">
        <v>18.63</v>
      </c>
      <c r="L1282" s="1186">
        <v>3.65</v>
      </c>
      <c r="M1282" s="1186">
        <v>14.17</v>
      </c>
      <c r="N1282" s="1186">
        <v>4.8099999999999996</v>
      </c>
      <c r="O1282" s="1186">
        <v>17.989999999999998</v>
      </c>
      <c r="P1282" s="1186">
        <v>6.2</v>
      </c>
      <c r="Q1282" s="1186">
        <v>18.190000000000001</v>
      </c>
      <c r="R1282" s="1186">
        <v>2.31</v>
      </c>
      <c r="S1282" s="1186">
        <v>13.05</v>
      </c>
      <c r="T1282" s="1186">
        <v>3.08</v>
      </c>
      <c r="U1282" s="1186">
        <v>16.38</v>
      </c>
      <c r="V1282" s="1186">
        <v>3.86</v>
      </c>
      <c r="W1282" s="1186"/>
      <c r="X1282" s="1186"/>
      <c r="Y1282" s="1186"/>
      <c r="Z1282" s="1186"/>
      <c r="AA1282" s="1186"/>
      <c r="AB1282" s="1186"/>
      <c r="AC1282" s="1186"/>
      <c r="AD1282" s="1187"/>
    </row>
    <row r="1283" spans="1:30" x14ac:dyDescent="0.2">
      <c r="A1283">
        <f t="shared" si="53"/>
        <v>32</v>
      </c>
      <c r="B1283">
        <v>1274</v>
      </c>
      <c r="C1283" s="1078">
        <v>2</v>
      </c>
      <c r="D1283" s="1077" t="s">
        <v>4530</v>
      </c>
      <c r="E1283" s="1077" t="s">
        <v>5322</v>
      </c>
      <c r="F1283" s="1185">
        <v>4</v>
      </c>
      <c r="G1283" s="1186">
        <v>9.4</v>
      </c>
      <c r="H1283" s="1186">
        <v>2.4</v>
      </c>
      <c r="I1283" s="1186">
        <v>11.2</v>
      </c>
      <c r="J1283" s="1186">
        <v>2.9</v>
      </c>
      <c r="K1283" s="1186">
        <v>4.9000000000000004</v>
      </c>
      <c r="L1283" s="1186">
        <v>4.5</v>
      </c>
      <c r="M1283" s="1186">
        <v>4.6500000000000004</v>
      </c>
      <c r="N1283" s="1186">
        <v>5.6</v>
      </c>
      <c r="O1283" s="1186">
        <v>5.96</v>
      </c>
      <c r="P1283" s="1186">
        <v>7.86</v>
      </c>
      <c r="Q1283" s="1186">
        <v>10.14</v>
      </c>
      <c r="R1283" s="1186">
        <v>2.0299999999999998</v>
      </c>
      <c r="S1283" s="1186">
        <v>4</v>
      </c>
      <c r="T1283" s="1186">
        <v>3.2</v>
      </c>
      <c r="U1283" s="1186">
        <v>5.31</v>
      </c>
      <c r="V1283" s="1186">
        <v>4.32</v>
      </c>
      <c r="W1283" s="1186"/>
      <c r="X1283" s="1186"/>
      <c r="Y1283" s="1186"/>
      <c r="Z1283" s="1186"/>
      <c r="AA1283" s="1186"/>
      <c r="AB1283" s="1186"/>
      <c r="AC1283" s="1186"/>
      <c r="AD1283" s="1187"/>
    </row>
    <row r="1284" spans="1:30" x14ac:dyDescent="0.2">
      <c r="A1284">
        <f t="shared" si="53"/>
        <v>32</v>
      </c>
      <c r="B1284">
        <v>1275</v>
      </c>
      <c r="C1284" s="1078">
        <v>2</v>
      </c>
      <c r="D1284" s="1077" t="s">
        <v>4530</v>
      </c>
      <c r="E1284" s="1077" t="s">
        <v>5323</v>
      </c>
      <c r="F1284" s="1185">
        <v>2</v>
      </c>
      <c r="G1284" s="1186">
        <v>11.39</v>
      </c>
      <c r="H1284" s="1186">
        <v>2.67</v>
      </c>
      <c r="I1284" s="1186">
        <v>13.89</v>
      </c>
      <c r="J1284" s="1186">
        <v>3.11</v>
      </c>
      <c r="K1284" s="1186">
        <v>15.86</v>
      </c>
      <c r="L1284" s="1186">
        <v>3.7</v>
      </c>
      <c r="M1284" s="1186">
        <v>11.67</v>
      </c>
      <c r="N1284" s="1186">
        <v>5.04</v>
      </c>
      <c r="O1284" s="1186">
        <v>13.57</v>
      </c>
      <c r="P1284" s="1186">
        <v>5.93</v>
      </c>
      <c r="Q1284" s="1186">
        <v>13.19</v>
      </c>
      <c r="R1284" s="1186">
        <v>2.25</v>
      </c>
      <c r="S1284" s="1186">
        <v>10.79</v>
      </c>
      <c r="T1284" s="1186">
        <v>3.17</v>
      </c>
      <c r="U1284" s="1186">
        <v>12.23</v>
      </c>
      <c r="V1284" s="1186">
        <v>3.63</v>
      </c>
      <c r="W1284" s="1186"/>
      <c r="X1284" s="1186"/>
      <c r="Y1284" s="1186"/>
      <c r="Z1284" s="1186"/>
      <c r="AA1284" s="1186"/>
      <c r="AB1284" s="1186"/>
      <c r="AC1284" s="1186"/>
      <c r="AD1284" s="1187"/>
    </row>
    <row r="1285" spans="1:30" x14ac:dyDescent="0.2">
      <c r="A1285">
        <f t="shared" si="53"/>
        <v>32</v>
      </c>
      <c r="B1285">
        <v>1276</v>
      </c>
      <c r="C1285" s="1078">
        <v>3</v>
      </c>
      <c r="D1285" s="1077" t="s">
        <v>4530</v>
      </c>
      <c r="E1285" s="1077" t="s">
        <v>5615</v>
      </c>
      <c r="F1285" s="1079">
        <v>4</v>
      </c>
      <c r="G1285" s="1186"/>
      <c r="H1285" s="1186"/>
      <c r="I1285" s="1186"/>
      <c r="J1285" s="1186"/>
      <c r="K1285" s="1186"/>
      <c r="L1285" s="1186"/>
      <c r="M1285" s="1186"/>
      <c r="N1285" s="1186"/>
      <c r="O1285" s="1186"/>
      <c r="P1285" s="1186"/>
      <c r="Q1285" s="1186"/>
      <c r="R1285" s="1186"/>
      <c r="S1285" s="1186"/>
      <c r="T1285" s="1186"/>
      <c r="U1285" s="1186"/>
      <c r="V1285" s="1186"/>
      <c r="W1285" s="1186">
        <v>10.199999999999999</v>
      </c>
      <c r="X1285" s="1186">
        <v>4.5999999999999996</v>
      </c>
      <c r="Y1285" s="1186">
        <v>9.8000000000000007</v>
      </c>
      <c r="Z1285" s="1186">
        <v>2.65</v>
      </c>
      <c r="AA1285" s="1186"/>
      <c r="AB1285" s="1186"/>
      <c r="AC1285" s="1186"/>
      <c r="AD1285" s="1187"/>
    </row>
    <row r="1286" spans="1:30" x14ac:dyDescent="0.2">
      <c r="A1286">
        <f t="shared" si="53"/>
        <v>32</v>
      </c>
      <c r="B1286">
        <v>1277</v>
      </c>
      <c r="C1286" s="1078">
        <v>3</v>
      </c>
      <c r="D1286" s="1077" t="s">
        <v>4530</v>
      </c>
      <c r="E1286" s="1077" t="s">
        <v>5616</v>
      </c>
      <c r="F1286" s="1079">
        <v>4</v>
      </c>
      <c r="G1286" s="1186"/>
      <c r="H1286" s="1186"/>
      <c r="I1286" s="1186"/>
      <c r="J1286" s="1186"/>
      <c r="K1286" s="1186"/>
      <c r="L1286" s="1186"/>
      <c r="M1286" s="1186"/>
      <c r="N1286" s="1186"/>
      <c r="O1286" s="1186"/>
      <c r="P1286" s="1186"/>
      <c r="Q1286" s="1186"/>
      <c r="R1286" s="1186"/>
      <c r="S1286" s="1186"/>
      <c r="T1286" s="1186"/>
      <c r="U1286" s="1186"/>
      <c r="V1286" s="1186"/>
      <c r="W1286" s="1186">
        <v>16.100000000000001</v>
      </c>
      <c r="X1286" s="1186">
        <v>4.5999999999999996</v>
      </c>
      <c r="Y1286" s="1186">
        <v>14.2</v>
      </c>
      <c r="Z1286" s="1186">
        <v>3.7</v>
      </c>
      <c r="AA1286" s="1186"/>
      <c r="AB1286" s="1186"/>
      <c r="AC1286" s="1186"/>
      <c r="AD1286" s="1187"/>
    </row>
    <row r="1287" spans="1:30" x14ac:dyDescent="0.2">
      <c r="A1287">
        <f t="shared" si="53"/>
        <v>32</v>
      </c>
      <c r="B1287">
        <v>1278</v>
      </c>
      <c r="C1287" s="1078">
        <v>2</v>
      </c>
      <c r="D1287" s="1077" t="s">
        <v>4530</v>
      </c>
      <c r="E1287" s="1207" t="s">
        <v>4705</v>
      </c>
      <c r="F1287" s="1185">
        <v>4</v>
      </c>
      <c r="G1287" s="1186">
        <v>4.2</v>
      </c>
      <c r="H1287" s="1186">
        <v>2.17</v>
      </c>
      <c r="I1287" s="1186">
        <v>4.2</v>
      </c>
      <c r="J1287" s="1186">
        <v>2.59</v>
      </c>
      <c r="K1287" s="1186">
        <v>4.2</v>
      </c>
      <c r="L1287" s="1186">
        <v>3.11</v>
      </c>
      <c r="M1287" s="1186">
        <v>4.63</v>
      </c>
      <c r="N1287" s="1186">
        <v>4.63</v>
      </c>
      <c r="O1287" s="1186">
        <v>5</v>
      </c>
      <c r="P1287" s="1186">
        <v>5.63</v>
      </c>
      <c r="Q1287" s="1186">
        <v>3.55</v>
      </c>
      <c r="R1287" s="1186">
        <v>1.71</v>
      </c>
      <c r="S1287" s="1186">
        <v>5</v>
      </c>
      <c r="T1287" s="1186">
        <v>2.65</v>
      </c>
      <c r="U1287" s="1186">
        <v>5</v>
      </c>
      <c r="V1287" s="1186">
        <v>3.14</v>
      </c>
      <c r="W1287" s="1186"/>
      <c r="X1287" s="1186"/>
      <c r="Y1287" s="1186"/>
      <c r="Z1287" s="1186"/>
      <c r="AA1287" s="1186"/>
      <c r="AB1287" s="1186"/>
      <c r="AC1287" s="1186"/>
      <c r="AD1287" s="1187"/>
    </row>
    <row r="1288" spans="1:30" x14ac:dyDescent="0.2">
      <c r="A1288">
        <f t="shared" si="53"/>
        <v>32</v>
      </c>
      <c r="B1288">
        <v>1279</v>
      </c>
      <c r="C1288" s="1078">
        <v>2</v>
      </c>
      <c r="D1288" s="1077" t="s">
        <v>4530</v>
      </c>
      <c r="E1288" s="1077" t="s">
        <v>5617</v>
      </c>
      <c r="F1288" s="1079">
        <v>4</v>
      </c>
      <c r="G1288" s="1079">
        <v>7.3</v>
      </c>
      <c r="H1288" s="1079">
        <v>3</v>
      </c>
      <c r="I1288" s="1079">
        <v>9</v>
      </c>
      <c r="J1288" s="1079">
        <v>3.45</v>
      </c>
      <c r="K1288" s="1079">
        <v>9</v>
      </c>
      <c r="L1288" s="1079">
        <v>3.81</v>
      </c>
      <c r="M1288" s="1079">
        <v>9</v>
      </c>
      <c r="N1288" s="1079">
        <v>5.23</v>
      </c>
      <c r="O1288" s="1079">
        <v>9</v>
      </c>
      <c r="P1288" s="1079">
        <v>6.7</v>
      </c>
      <c r="Q1288" s="1079">
        <v>9</v>
      </c>
      <c r="R1288" s="1079">
        <v>2.35</v>
      </c>
      <c r="S1288" s="1079">
        <v>9</v>
      </c>
      <c r="T1288" s="1079">
        <v>3.24</v>
      </c>
      <c r="U1288" s="1079">
        <v>9</v>
      </c>
      <c r="V1288" s="1178">
        <v>4.1486346863468642</v>
      </c>
      <c r="W1288" s="1079"/>
      <c r="X1288" s="1079"/>
      <c r="Y1288" s="1079"/>
      <c r="Z1288" s="1079"/>
      <c r="AA1288" s="1079"/>
      <c r="AB1288" s="1079"/>
      <c r="AC1288" s="1079"/>
      <c r="AD1288" s="1080"/>
    </row>
    <row r="1289" spans="1:30" x14ac:dyDescent="0.2">
      <c r="A1289">
        <f t="shared" si="53"/>
        <v>32</v>
      </c>
      <c r="B1289">
        <v>1280</v>
      </c>
      <c r="C1289" s="1078">
        <v>2</v>
      </c>
      <c r="D1289" s="1077" t="s">
        <v>4530</v>
      </c>
      <c r="E1289" s="1077" t="s">
        <v>5618</v>
      </c>
      <c r="F1289" s="1079">
        <v>4</v>
      </c>
      <c r="G1289" s="1079">
        <v>9.8000000000000007</v>
      </c>
      <c r="H1289" s="1079">
        <v>2.98</v>
      </c>
      <c r="I1289" s="1079">
        <v>12</v>
      </c>
      <c r="J1289" s="1079">
        <v>3</v>
      </c>
      <c r="K1289" s="1079">
        <v>12</v>
      </c>
      <c r="L1289" s="1079">
        <v>3.54</v>
      </c>
      <c r="M1289" s="1079">
        <v>12</v>
      </c>
      <c r="N1289" s="1079">
        <v>5.0599999999999996</v>
      </c>
      <c r="O1289" s="1079">
        <v>12</v>
      </c>
      <c r="P1289" s="1079">
        <v>6.49</v>
      </c>
      <c r="Q1289" s="1079">
        <v>12</v>
      </c>
      <c r="R1289" s="1079">
        <v>2.17</v>
      </c>
      <c r="S1289" s="1079">
        <v>12</v>
      </c>
      <c r="T1289" s="1079">
        <v>3.23</v>
      </c>
      <c r="U1289" s="1079">
        <v>12</v>
      </c>
      <c r="V1289" s="1178">
        <v>4.1358302583025832</v>
      </c>
      <c r="W1289" s="1079"/>
      <c r="X1289" s="1079"/>
      <c r="Y1289" s="1079"/>
      <c r="Z1289" s="1079"/>
      <c r="AA1289" s="1079"/>
      <c r="AB1289" s="1079"/>
      <c r="AC1289" s="1079"/>
      <c r="AD1289" s="1080"/>
    </row>
    <row r="1290" spans="1:30" x14ac:dyDescent="0.2">
      <c r="A1290">
        <f t="shared" si="53"/>
        <v>32</v>
      </c>
      <c r="B1290">
        <v>1281</v>
      </c>
      <c r="C1290" s="1078">
        <v>2</v>
      </c>
      <c r="D1290" s="1077" t="s">
        <v>4530</v>
      </c>
      <c r="E1290" s="1077" t="s">
        <v>5619</v>
      </c>
      <c r="F1290" s="1079">
        <v>4</v>
      </c>
      <c r="G1290" s="1079">
        <v>13.1</v>
      </c>
      <c r="H1290" s="1079">
        <v>2.96</v>
      </c>
      <c r="I1290" s="1079">
        <v>16</v>
      </c>
      <c r="J1290" s="1079">
        <v>2.5299999999999998</v>
      </c>
      <c r="K1290" s="1079">
        <v>16</v>
      </c>
      <c r="L1290" s="1079">
        <v>3.3</v>
      </c>
      <c r="M1290" s="1079">
        <v>16</v>
      </c>
      <c r="N1290" s="1079">
        <v>4.8899999999999997</v>
      </c>
      <c r="O1290" s="1079">
        <v>16</v>
      </c>
      <c r="P1290" s="1079">
        <v>6.27</v>
      </c>
      <c r="Q1290" s="1079">
        <v>16</v>
      </c>
      <c r="R1290" s="1079">
        <v>1.97</v>
      </c>
      <c r="S1290" s="1079">
        <v>16</v>
      </c>
      <c r="T1290" s="1079">
        <v>3.2</v>
      </c>
      <c r="U1290" s="1079">
        <v>16</v>
      </c>
      <c r="V1290" s="1178">
        <v>4.0974169741697422</v>
      </c>
      <c r="W1290" s="1079"/>
      <c r="X1290" s="1079"/>
      <c r="Y1290" s="1079"/>
      <c r="Z1290" s="1079"/>
      <c r="AA1290" s="1079"/>
      <c r="AB1290" s="1079"/>
      <c r="AC1290" s="1079"/>
      <c r="AD1290" s="1080"/>
    </row>
    <row r="1291" spans="1:30" x14ac:dyDescent="0.2">
      <c r="A1291">
        <f t="shared" si="53"/>
        <v>32</v>
      </c>
      <c r="B1291">
        <v>1282</v>
      </c>
      <c r="C1291" s="1078">
        <v>2</v>
      </c>
      <c r="D1291" s="1077" t="s">
        <v>4530</v>
      </c>
      <c r="E1291" s="1077" t="s">
        <v>5620</v>
      </c>
      <c r="F1291" s="1079">
        <v>4</v>
      </c>
      <c r="G1291" s="1079">
        <v>16.3</v>
      </c>
      <c r="H1291" s="1079">
        <v>2.37</v>
      </c>
      <c r="I1291" s="1079">
        <v>20</v>
      </c>
      <c r="J1291" s="1079">
        <v>2.4500000000000002</v>
      </c>
      <c r="K1291" s="1079">
        <v>20</v>
      </c>
      <c r="L1291" s="1079">
        <v>3.39</v>
      </c>
      <c r="M1291" s="1079">
        <v>20</v>
      </c>
      <c r="N1291" s="1079">
        <v>4.8</v>
      </c>
      <c r="O1291" s="1079">
        <v>20</v>
      </c>
      <c r="P1291" s="1079">
        <v>6.15</v>
      </c>
      <c r="Q1291" s="1079">
        <v>20</v>
      </c>
      <c r="R1291" s="1079">
        <v>1.9</v>
      </c>
      <c r="S1291" s="1079">
        <v>20</v>
      </c>
      <c r="T1291" s="1079">
        <v>3.18</v>
      </c>
      <c r="U1291" s="1079">
        <v>20</v>
      </c>
      <c r="V1291" s="1178">
        <v>4.071808118081182</v>
      </c>
      <c r="W1291" s="1079"/>
      <c r="X1291" s="1079"/>
      <c r="Y1291" s="1079"/>
      <c r="Z1291" s="1079"/>
      <c r="AA1291" s="1079"/>
      <c r="AB1291" s="1079"/>
      <c r="AC1291" s="1079"/>
      <c r="AD1291" s="1080"/>
    </row>
    <row r="1292" spans="1:30" x14ac:dyDescent="0.2">
      <c r="A1292">
        <f t="shared" ref="A1292:A1355" si="54">A1291+(D1292&lt;&gt;D1291)*1</f>
        <v>32</v>
      </c>
      <c r="B1292">
        <v>1283</v>
      </c>
      <c r="C1292" s="1078">
        <v>2</v>
      </c>
      <c r="D1292" s="1077" t="s">
        <v>4530</v>
      </c>
      <c r="E1292" s="1077" t="s">
        <v>5621</v>
      </c>
      <c r="F1292" s="1079">
        <v>4</v>
      </c>
      <c r="G1292" s="1079">
        <v>20.3</v>
      </c>
      <c r="H1292" s="1079">
        <v>2.41</v>
      </c>
      <c r="I1292" s="1079">
        <v>25</v>
      </c>
      <c r="J1292" s="1079">
        <v>2.36</v>
      </c>
      <c r="K1292" s="1079">
        <v>25</v>
      </c>
      <c r="L1292" s="1079">
        <v>3.8</v>
      </c>
      <c r="M1292" s="1079">
        <v>25</v>
      </c>
      <c r="N1292" s="1079">
        <v>4.5</v>
      </c>
      <c r="O1292" s="1079">
        <v>25</v>
      </c>
      <c r="P1292" s="1079">
        <v>5.77</v>
      </c>
      <c r="Q1292" s="1079">
        <v>25</v>
      </c>
      <c r="R1292" s="1079">
        <v>1.8</v>
      </c>
      <c r="S1292" s="1079">
        <v>25</v>
      </c>
      <c r="T1292" s="1079">
        <v>3</v>
      </c>
      <c r="U1292" s="1079">
        <v>25</v>
      </c>
      <c r="V1292" s="1178">
        <v>3.8413284132841334</v>
      </c>
      <c r="W1292" s="1079"/>
      <c r="X1292" s="1079"/>
      <c r="Y1292" s="1079"/>
      <c r="Z1292" s="1079"/>
      <c r="AA1292" s="1079"/>
      <c r="AB1292" s="1079"/>
      <c r="AC1292" s="1079"/>
      <c r="AD1292" s="1080"/>
    </row>
    <row r="1293" spans="1:30" x14ac:dyDescent="0.2">
      <c r="A1293">
        <f t="shared" si="54"/>
        <v>32</v>
      </c>
      <c r="B1293">
        <v>1284</v>
      </c>
      <c r="C1293" s="1078">
        <v>2</v>
      </c>
      <c r="D1293" s="1077" t="s">
        <v>4530</v>
      </c>
      <c r="E1293" s="1077" t="s">
        <v>5622</v>
      </c>
      <c r="F1293" s="1079">
        <v>4</v>
      </c>
      <c r="G1293" s="1079">
        <v>30.4</v>
      </c>
      <c r="H1293" s="1079">
        <v>2.2999999999999998</v>
      </c>
      <c r="I1293" s="1079">
        <v>30</v>
      </c>
      <c r="J1293" s="1079">
        <v>2.33</v>
      </c>
      <c r="K1293" s="1079">
        <v>30</v>
      </c>
      <c r="L1293" s="1079">
        <v>2.5</v>
      </c>
      <c r="M1293" s="1079">
        <v>30</v>
      </c>
      <c r="N1293" s="1079">
        <v>4.4000000000000004</v>
      </c>
      <c r="O1293" s="1079">
        <v>30</v>
      </c>
      <c r="P1293" s="1079">
        <v>5.64</v>
      </c>
      <c r="Q1293" s="1079">
        <v>30</v>
      </c>
      <c r="R1293" s="1079">
        <v>1.49</v>
      </c>
      <c r="S1293" s="1079">
        <v>30</v>
      </c>
      <c r="T1293" s="1079">
        <v>3</v>
      </c>
      <c r="U1293" s="1079">
        <v>30</v>
      </c>
      <c r="V1293" s="1178">
        <v>3.8413284132841334</v>
      </c>
      <c r="W1293" s="1079"/>
      <c r="X1293" s="1079"/>
      <c r="Y1293" s="1079"/>
      <c r="Z1293" s="1079"/>
      <c r="AA1293" s="1079"/>
      <c r="AB1293" s="1079"/>
      <c r="AC1293" s="1079"/>
      <c r="AD1293" s="1080"/>
    </row>
    <row r="1294" spans="1:30" x14ac:dyDescent="0.2">
      <c r="A1294">
        <f t="shared" si="54"/>
        <v>32</v>
      </c>
      <c r="B1294">
        <v>1285</v>
      </c>
      <c r="C1294" s="1078">
        <v>3</v>
      </c>
      <c r="D1294" s="1077" t="s">
        <v>4530</v>
      </c>
      <c r="E1294" s="1207" t="s">
        <v>5623</v>
      </c>
      <c r="F1294" s="1079">
        <v>4</v>
      </c>
      <c r="G1294" s="1079"/>
      <c r="H1294" s="1079"/>
      <c r="I1294" s="1079"/>
      <c r="J1294" s="1079"/>
      <c r="K1294" s="1079"/>
      <c r="L1294" s="1079"/>
      <c r="M1294" s="1079"/>
      <c r="N1294" s="1079"/>
      <c r="O1294" s="1079"/>
      <c r="P1294" s="1079"/>
      <c r="Q1294" s="1079"/>
      <c r="R1294" s="1079"/>
      <c r="S1294" s="1079"/>
      <c r="T1294" s="1079"/>
      <c r="U1294" s="1079"/>
      <c r="V1294" s="1079"/>
      <c r="W1294" s="1079">
        <v>4.4000000000000004</v>
      </c>
      <c r="X1294" s="1079">
        <v>16.8</v>
      </c>
      <c r="Y1294" s="1079">
        <v>21.29</v>
      </c>
      <c r="Z1294" s="1079">
        <v>3.41</v>
      </c>
      <c r="AA1294" s="1079">
        <v>59.3</v>
      </c>
      <c r="AB1294" s="1079">
        <v>5.3</v>
      </c>
      <c r="AC1294" s="1079">
        <v>51.3</v>
      </c>
      <c r="AD1294" s="1080">
        <v>3.26</v>
      </c>
    </row>
    <row r="1295" spans="1:30" x14ac:dyDescent="0.2">
      <c r="A1295">
        <f t="shared" si="54"/>
        <v>32</v>
      </c>
      <c r="B1295">
        <v>1286</v>
      </c>
      <c r="C1295" s="1078">
        <v>3</v>
      </c>
      <c r="D1295" s="1077" t="s">
        <v>4530</v>
      </c>
      <c r="E1295" s="1077" t="s">
        <v>5624</v>
      </c>
      <c r="F1295" s="1079">
        <v>4</v>
      </c>
      <c r="G1295" s="1079"/>
      <c r="H1295" s="1079"/>
      <c r="I1295" s="1079"/>
      <c r="J1295" s="1079"/>
      <c r="K1295" s="1079"/>
      <c r="L1295" s="1079"/>
      <c r="M1295" s="1079"/>
      <c r="N1295" s="1079"/>
      <c r="O1295" s="1079"/>
      <c r="P1295" s="1079"/>
      <c r="Q1295" s="1079"/>
      <c r="R1295" s="1079"/>
      <c r="S1295" s="1079"/>
      <c r="T1295" s="1079"/>
      <c r="U1295" s="1079"/>
      <c r="V1295" s="1079"/>
      <c r="W1295" s="1079">
        <v>4.5</v>
      </c>
      <c r="X1295" s="1079">
        <v>22.4</v>
      </c>
      <c r="Y1295" s="1079">
        <v>30.12</v>
      </c>
      <c r="Z1295" s="1079">
        <v>3.52</v>
      </c>
      <c r="AA1295" s="1079">
        <v>79.599999999999994</v>
      </c>
      <c r="AB1295" s="1079">
        <v>5.42</v>
      </c>
      <c r="AC1295" s="1079">
        <v>69.400000000000006</v>
      </c>
      <c r="AD1295" s="1080">
        <v>3.34</v>
      </c>
    </row>
    <row r="1296" spans="1:30" x14ac:dyDescent="0.2">
      <c r="A1296">
        <f t="shared" si="54"/>
        <v>32</v>
      </c>
      <c r="B1296">
        <v>1287</v>
      </c>
      <c r="C1296" s="1078">
        <v>3</v>
      </c>
      <c r="D1296" s="1077" t="s">
        <v>4530</v>
      </c>
      <c r="E1296" s="1077" t="s">
        <v>5625</v>
      </c>
      <c r="F1296" s="1079">
        <v>4</v>
      </c>
      <c r="G1296" s="1079"/>
      <c r="H1296" s="1079"/>
      <c r="I1296" s="1079"/>
      <c r="J1296" s="1079"/>
      <c r="K1296" s="1079"/>
      <c r="L1296" s="1079"/>
      <c r="M1296" s="1079"/>
      <c r="N1296" s="1079"/>
      <c r="O1296" s="1079"/>
      <c r="P1296" s="1079"/>
      <c r="Q1296" s="1079"/>
      <c r="R1296" s="1079"/>
      <c r="S1296" s="1079"/>
      <c r="T1296" s="1079"/>
      <c r="U1296" s="1079"/>
      <c r="V1296" s="1079"/>
      <c r="W1296" s="1079">
        <v>4.5999999999999996</v>
      </c>
      <c r="X1296" s="1079">
        <v>33.9</v>
      </c>
      <c r="Y1296" s="1079">
        <v>48.94</v>
      </c>
      <c r="Z1296" s="1079">
        <v>3.49</v>
      </c>
      <c r="AA1296" s="1079">
        <v>117.8</v>
      </c>
      <c r="AB1296" s="1079">
        <v>5.5</v>
      </c>
      <c r="AC1296" s="1079">
        <v>102.1</v>
      </c>
      <c r="AD1296" s="1080">
        <v>3.42</v>
      </c>
    </row>
    <row r="1297" spans="1:30" x14ac:dyDescent="0.2">
      <c r="A1297">
        <f t="shared" si="54"/>
        <v>32</v>
      </c>
      <c r="B1297">
        <v>1288</v>
      </c>
      <c r="C1297" s="1078">
        <v>3</v>
      </c>
      <c r="D1297" s="1077" t="s">
        <v>4530</v>
      </c>
      <c r="E1297" s="1077" t="s">
        <v>5686</v>
      </c>
      <c r="F1297" s="1185">
        <v>4</v>
      </c>
      <c r="G1297" s="1186"/>
      <c r="H1297" s="1186"/>
      <c r="I1297" s="1186"/>
      <c r="J1297" s="1186"/>
      <c r="K1297" s="1186"/>
      <c r="L1297" s="1186"/>
      <c r="M1297" s="1186"/>
      <c r="N1297" s="1186"/>
      <c r="O1297" s="1186"/>
      <c r="P1297" s="1186"/>
      <c r="Q1297" s="1186"/>
      <c r="R1297" s="1186"/>
      <c r="S1297" s="1186"/>
      <c r="T1297" s="1186"/>
      <c r="U1297" s="1186"/>
      <c r="V1297" s="1186"/>
      <c r="W1297" s="1186">
        <v>6.67</v>
      </c>
      <c r="X1297" s="1186">
        <v>3.73</v>
      </c>
      <c r="Y1297" s="1186">
        <v>5.38</v>
      </c>
      <c r="Z1297" s="1186">
        <v>2.0699999999999998</v>
      </c>
      <c r="AA1297" s="1186">
        <v>8.0500000000000007</v>
      </c>
      <c r="AB1297" s="1186">
        <v>4.5199999999999996</v>
      </c>
      <c r="AC1297" s="1186">
        <v>7.51</v>
      </c>
      <c r="AD1297" s="1187">
        <v>3.3</v>
      </c>
    </row>
    <row r="1298" spans="1:30" x14ac:dyDescent="0.2">
      <c r="A1298">
        <f t="shared" si="54"/>
        <v>32</v>
      </c>
      <c r="B1298">
        <v>1289</v>
      </c>
      <c r="C1298" s="1078">
        <v>2</v>
      </c>
      <c r="D1298" s="1077" t="s">
        <v>4530</v>
      </c>
      <c r="E1298" s="1077" t="s">
        <v>5687</v>
      </c>
      <c r="F1298" s="1185">
        <v>4</v>
      </c>
      <c r="G1298" s="1186">
        <v>6.66</v>
      </c>
      <c r="H1298" s="1186">
        <v>2.2000000000000002</v>
      </c>
      <c r="I1298" s="1186">
        <v>8.32</v>
      </c>
      <c r="J1298" s="1186">
        <v>2.7</v>
      </c>
      <c r="K1298" s="1186">
        <v>8.33</v>
      </c>
      <c r="L1298" s="1186">
        <v>2.9</v>
      </c>
      <c r="M1298" s="1186">
        <v>8.35</v>
      </c>
      <c r="N1298" s="1186">
        <v>3.87</v>
      </c>
      <c r="O1298" s="1186">
        <v>9.2100000000000009</v>
      </c>
      <c r="P1298" s="1186">
        <v>5.38</v>
      </c>
      <c r="Q1298" s="1186">
        <v>7.68</v>
      </c>
      <c r="R1298" s="1186">
        <v>1.81</v>
      </c>
      <c r="S1298" s="1186">
        <v>7.95</v>
      </c>
      <c r="T1298" s="1186">
        <v>2.96</v>
      </c>
      <c r="U1298" s="1186">
        <v>8.4499999999999993</v>
      </c>
      <c r="V1298" s="1186">
        <v>3.55</v>
      </c>
      <c r="W1298" s="1186"/>
      <c r="X1298" s="1186"/>
      <c r="Y1298" s="1186"/>
      <c r="Z1298" s="1186"/>
      <c r="AA1298" s="1186"/>
      <c r="AB1298" s="1186"/>
      <c r="AC1298" s="1186"/>
      <c r="AD1298" s="1187"/>
    </row>
    <row r="1299" spans="1:30" x14ac:dyDescent="0.2">
      <c r="A1299">
        <f t="shared" si="54"/>
        <v>32</v>
      </c>
      <c r="B1299">
        <v>1290</v>
      </c>
      <c r="C1299" s="1078">
        <v>2</v>
      </c>
      <c r="D1299" s="1077" t="s">
        <v>4530</v>
      </c>
      <c r="E1299" s="1077" t="s">
        <v>5688</v>
      </c>
      <c r="F1299" s="1185">
        <v>4</v>
      </c>
      <c r="G1299" s="1186">
        <v>8.9700000000000006</v>
      </c>
      <c r="H1299" s="1186">
        <v>2.35</v>
      </c>
      <c r="I1299" s="1186">
        <v>10.3</v>
      </c>
      <c r="J1299" s="1186">
        <v>2.76</v>
      </c>
      <c r="K1299" s="1186">
        <v>11.8</v>
      </c>
      <c r="L1299" s="1186">
        <v>3.24</v>
      </c>
      <c r="M1299" s="1186">
        <v>12.41</v>
      </c>
      <c r="N1299" s="1186">
        <v>3.95</v>
      </c>
      <c r="O1299" s="1186">
        <v>13.24</v>
      </c>
      <c r="P1299" s="1186">
        <v>5.42</v>
      </c>
      <c r="Q1299" s="1186">
        <v>9.85</v>
      </c>
      <c r="R1299" s="1186">
        <v>2.25</v>
      </c>
      <c r="S1299" s="1186">
        <v>11.68</v>
      </c>
      <c r="T1299" s="1186">
        <v>2.85</v>
      </c>
      <c r="U1299" s="1186">
        <v>12.26</v>
      </c>
      <c r="V1299" s="1186">
        <v>3.58</v>
      </c>
      <c r="W1299" s="1186"/>
      <c r="X1299" s="1186"/>
      <c r="Y1299" s="1186"/>
      <c r="Z1299" s="1186"/>
      <c r="AA1299" s="1186"/>
      <c r="AB1299" s="1186"/>
      <c r="AC1299" s="1186"/>
      <c r="AD1299" s="1187"/>
    </row>
    <row r="1300" spans="1:30" x14ac:dyDescent="0.2">
      <c r="A1300">
        <f t="shared" si="54"/>
        <v>32</v>
      </c>
      <c r="B1300">
        <v>1291</v>
      </c>
      <c r="C1300" s="1078">
        <v>2</v>
      </c>
      <c r="D1300" s="1077" t="s">
        <v>4530</v>
      </c>
      <c r="E1300" s="1077" t="s">
        <v>5689</v>
      </c>
      <c r="F1300" s="1185">
        <v>4</v>
      </c>
      <c r="G1300" s="1186">
        <v>10.79</v>
      </c>
      <c r="H1300" s="1186">
        <v>2.3199999999999998</v>
      </c>
      <c r="I1300" s="1186">
        <v>13.3</v>
      </c>
      <c r="J1300" s="1186">
        <v>2.87</v>
      </c>
      <c r="K1300" s="1186">
        <v>14.51</v>
      </c>
      <c r="L1300" s="1186">
        <v>3.23</v>
      </c>
      <c r="M1300" s="1186">
        <v>16.09</v>
      </c>
      <c r="N1300" s="1186">
        <v>4.37</v>
      </c>
      <c r="O1300" s="1186">
        <v>19.010000000000002</v>
      </c>
      <c r="P1300" s="1186">
        <v>5.41</v>
      </c>
      <c r="Q1300" s="1186">
        <v>11.55</v>
      </c>
      <c r="R1300" s="1186">
        <v>2.14</v>
      </c>
      <c r="S1300" s="1186">
        <v>14.86</v>
      </c>
      <c r="T1300" s="1186">
        <v>3.02</v>
      </c>
      <c r="U1300" s="1186">
        <v>17.559999999999999</v>
      </c>
      <c r="V1300" s="1186">
        <v>3.56</v>
      </c>
      <c r="W1300" s="1186"/>
      <c r="X1300" s="1186"/>
      <c r="Y1300" s="1186"/>
      <c r="Z1300" s="1186"/>
      <c r="AA1300" s="1186"/>
      <c r="AB1300" s="1186"/>
      <c r="AC1300" s="1186"/>
      <c r="AD1300" s="1187"/>
    </row>
    <row r="1301" spans="1:30" x14ac:dyDescent="0.2">
      <c r="A1301">
        <f t="shared" si="54"/>
        <v>32</v>
      </c>
      <c r="B1301">
        <v>1292</v>
      </c>
      <c r="C1301" s="1078">
        <v>2</v>
      </c>
      <c r="D1301" s="1077" t="s">
        <v>4530</v>
      </c>
      <c r="E1301" s="1077" t="s">
        <v>5690</v>
      </c>
      <c r="F1301" s="1185">
        <v>4</v>
      </c>
      <c r="G1301" s="1186">
        <v>6.66</v>
      </c>
      <c r="H1301" s="1186">
        <v>2.2000000000000002</v>
      </c>
      <c r="I1301" s="1186">
        <v>8.32</v>
      </c>
      <c r="J1301" s="1186">
        <v>2.7</v>
      </c>
      <c r="K1301" s="1186">
        <v>8.33</v>
      </c>
      <c r="L1301" s="1186">
        <v>2.9</v>
      </c>
      <c r="M1301" s="1186">
        <v>8.35</v>
      </c>
      <c r="N1301" s="1186">
        <v>3.87</v>
      </c>
      <c r="O1301" s="1186">
        <v>9.2100000000000009</v>
      </c>
      <c r="P1301" s="1186">
        <v>5.38</v>
      </c>
      <c r="Q1301" s="1186">
        <v>7.68</v>
      </c>
      <c r="R1301" s="1186">
        <v>1.81</v>
      </c>
      <c r="S1301" s="1186">
        <v>7.95</v>
      </c>
      <c r="T1301" s="1186">
        <v>2.96</v>
      </c>
      <c r="U1301" s="1186">
        <v>8.4499999999999993</v>
      </c>
      <c r="V1301" s="1186">
        <v>3.55</v>
      </c>
      <c r="W1301" s="1186"/>
      <c r="X1301" s="1186"/>
      <c r="Y1301" s="1186"/>
      <c r="Z1301" s="1186"/>
      <c r="AA1301" s="1186"/>
      <c r="AB1301" s="1186"/>
      <c r="AC1301" s="1186"/>
      <c r="AD1301" s="1187"/>
    </row>
    <row r="1302" spans="1:30" x14ac:dyDescent="0.2">
      <c r="A1302">
        <f t="shared" si="54"/>
        <v>32</v>
      </c>
      <c r="B1302">
        <v>1293</v>
      </c>
      <c r="C1302" s="1078">
        <v>2</v>
      </c>
      <c r="D1302" s="1077" t="s">
        <v>4530</v>
      </c>
      <c r="E1302" s="1077" t="s">
        <v>5691</v>
      </c>
      <c r="F1302" s="1185">
        <v>4</v>
      </c>
      <c r="G1302" s="1186">
        <v>8.9700000000000006</v>
      </c>
      <c r="H1302" s="1186">
        <v>2.35</v>
      </c>
      <c r="I1302" s="1186">
        <v>10.3</v>
      </c>
      <c r="J1302" s="1186">
        <v>2.76</v>
      </c>
      <c r="K1302" s="1186">
        <v>11.8</v>
      </c>
      <c r="L1302" s="1186">
        <v>3.24</v>
      </c>
      <c r="M1302" s="1186">
        <v>12.41</v>
      </c>
      <c r="N1302" s="1186">
        <v>3.95</v>
      </c>
      <c r="O1302" s="1186">
        <v>13.24</v>
      </c>
      <c r="P1302" s="1186">
        <v>5.42</v>
      </c>
      <c r="Q1302" s="1186">
        <v>9.85</v>
      </c>
      <c r="R1302" s="1186">
        <v>2.25</v>
      </c>
      <c r="S1302" s="1186">
        <v>11.68</v>
      </c>
      <c r="T1302" s="1186">
        <v>2.85</v>
      </c>
      <c r="U1302" s="1186">
        <v>12.26</v>
      </c>
      <c r="V1302" s="1186">
        <v>3.58</v>
      </c>
      <c r="W1302" s="1186"/>
      <c r="X1302" s="1186"/>
      <c r="Y1302" s="1186"/>
      <c r="Z1302" s="1186"/>
      <c r="AA1302" s="1186"/>
      <c r="AB1302" s="1186"/>
      <c r="AC1302" s="1186"/>
      <c r="AD1302" s="1187"/>
    </row>
    <row r="1303" spans="1:30" x14ac:dyDescent="0.2">
      <c r="A1303">
        <f t="shared" si="54"/>
        <v>33</v>
      </c>
      <c r="B1303">
        <v>1294</v>
      </c>
      <c r="C1303" s="1078">
        <v>2</v>
      </c>
      <c r="D1303" s="1077" t="s">
        <v>5532</v>
      </c>
      <c r="E1303" s="1077" t="s">
        <v>4712</v>
      </c>
      <c r="F1303" s="1185">
        <v>4</v>
      </c>
      <c r="G1303" s="1186">
        <v>3.4</v>
      </c>
      <c r="H1303" s="1186">
        <v>2.42</v>
      </c>
      <c r="I1303" s="1186">
        <v>6.4</v>
      </c>
      <c r="J1303" s="1186">
        <v>3.17</v>
      </c>
      <c r="K1303" s="1186">
        <v>4.05</v>
      </c>
      <c r="L1303" s="1186">
        <v>4.13</v>
      </c>
      <c r="M1303" s="1186">
        <v>3.72</v>
      </c>
      <c r="N1303" s="1186">
        <v>5.16</v>
      </c>
      <c r="O1303" s="1186">
        <v>4.72</v>
      </c>
      <c r="P1303" s="1186">
        <v>4.32</v>
      </c>
      <c r="Q1303" s="1186">
        <v>4.93</v>
      </c>
      <c r="R1303" s="1186">
        <v>2.2000000000000002</v>
      </c>
      <c r="S1303" s="1186">
        <v>4.8499999999999996</v>
      </c>
      <c r="T1303" s="1186">
        <v>2.5299999999999998</v>
      </c>
      <c r="U1303" s="1186">
        <v>4.2699999999999996</v>
      </c>
      <c r="V1303" s="1186">
        <v>2.5</v>
      </c>
      <c r="W1303" s="1186"/>
      <c r="X1303" s="1186"/>
      <c r="Y1303" s="1186"/>
      <c r="Z1303" s="1186"/>
      <c r="AA1303" s="1186"/>
      <c r="AB1303" s="1186"/>
      <c r="AC1303" s="1186"/>
      <c r="AD1303" s="1187"/>
    </row>
    <row r="1304" spans="1:30" x14ac:dyDescent="0.2">
      <c r="A1304">
        <f t="shared" si="54"/>
        <v>33</v>
      </c>
      <c r="B1304">
        <v>1295</v>
      </c>
      <c r="C1304" s="1078">
        <v>2</v>
      </c>
      <c r="D1304" s="1077" t="s">
        <v>5532</v>
      </c>
      <c r="E1304" s="1077" t="s">
        <v>4713</v>
      </c>
      <c r="F1304" s="1185">
        <v>4</v>
      </c>
      <c r="G1304" s="1186">
        <v>4.2</v>
      </c>
      <c r="H1304" s="1186">
        <v>2</v>
      </c>
      <c r="I1304" s="1186">
        <v>8.5</v>
      </c>
      <c r="J1304" s="1186">
        <v>2.63</v>
      </c>
      <c r="K1304" s="1186">
        <v>7.36</v>
      </c>
      <c r="L1304" s="1186">
        <v>3.67</v>
      </c>
      <c r="M1304" s="1186">
        <v>4.88</v>
      </c>
      <c r="N1304" s="1186">
        <v>5.01</v>
      </c>
      <c r="O1304" s="1186">
        <v>8.4499999999999993</v>
      </c>
      <c r="P1304" s="1186">
        <v>4.33</v>
      </c>
      <c r="Q1304" s="1186">
        <v>8.4600000000000009</v>
      </c>
      <c r="R1304" s="1186">
        <v>2.0499999999999998</v>
      </c>
      <c r="S1304" s="1186">
        <v>7.39</v>
      </c>
      <c r="T1304" s="1186">
        <v>3.16</v>
      </c>
      <c r="U1304" s="1186">
        <v>7.8</v>
      </c>
      <c r="V1304" s="1186">
        <v>3.27</v>
      </c>
      <c r="W1304" s="1186"/>
      <c r="X1304" s="1186"/>
      <c r="Y1304" s="1186"/>
      <c r="Z1304" s="1186"/>
      <c r="AA1304" s="1186"/>
      <c r="AB1304" s="1186"/>
      <c r="AC1304" s="1186"/>
      <c r="AD1304" s="1187"/>
    </row>
    <row r="1305" spans="1:30" x14ac:dyDescent="0.2">
      <c r="A1305">
        <f t="shared" si="54"/>
        <v>33</v>
      </c>
      <c r="B1305">
        <v>1296</v>
      </c>
      <c r="C1305" s="1078">
        <v>2</v>
      </c>
      <c r="D1305" s="1077" t="s">
        <v>5532</v>
      </c>
      <c r="E1305" s="1077" t="s">
        <v>4714</v>
      </c>
      <c r="F1305" s="1185">
        <v>4</v>
      </c>
      <c r="G1305" s="1186">
        <v>3.4</v>
      </c>
      <c r="H1305" s="1186">
        <v>2.42</v>
      </c>
      <c r="I1305" s="1186">
        <v>6.4</v>
      </c>
      <c r="J1305" s="1186">
        <v>3.17</v>
      </c>
      <c r="K1305" s="1186">
        <v>4.05</v>
      </c>
      <c r="L1305" s="1186">
        <v>4.13</v>
      </c>
      <c r="M1305" s="1186">
        <v>3.72</v>
      </c>
      <c r="N1305" s="1186">
        <v>5.16</v>
      </c>
      <c r="O1305" s="1186">
        <v>4.72</v>
      </c>
      <c r="P1305" s="1186">
        <v>4.32</v>
      </c>
      <c r="Q1305" s="1186">
        <v>4.93</v>
      </c>
      <c r="R1305" s="1186">
        <v>2.2000000000000002</v>
      </c>
      <c r="S1305" s="1186">
        <v>4.8499999999999996</v>
      </c>
      <c r="T1305" s="1186">
        <v>2.5299999999999998</v>
      </c>
      <c r="U1305" s="1186">
        <v>4.2699999999999996</v>
      </c>
      <c r="V1305" s="1186">
        <v>2.5</v>
      </c>
      <c r="W1305" s="1186"/>
      <c r="X1305" s="1186"/>
      <c r="Y1305" s="1186"/>
      <c r="Z1305" s="1186"/>
      <c r="AA1305" s="1186"/>
      <c r="AB1305" s="1186"/>
      <c r="AC1305" s="1186"/>
      <c r="AD1305" s="1187"/>
    </row>
    <row r="1306" spans="1:30" x14ac:dyDescent="0.2">
      <c r="A1306">
        <f t="shared" si="54"/>
        <v>33</v>
      </c>
      <c r="B1306">
        <v>1297</v>
      </c>
      <c r="C1306" s="1078">
        <v>2</v>
      </c>
      <c r="D1306" s="1077" t="s">
        <v>5532</v>
      </c>
      <c r="E1306" s="1077" t="s">
        <v>4715</v>
      </c>
      <c r="F1306" s="1185">
        <v>4</v>
      </c>
      <c r="G1306" s="1186">
        <v>4.2</v>
      </c>
      <c r="H1306" s="1186">
        <v>2</v>
      </c>
      <c r="I1306" s="1186">
        <v>8.5</v>
      </c>
      <c r="J1306" s="1186">
        <v>2.63</v>
      </c>
      <c r="K1306" s="1186">
        <v>7.36</v>
      </c>
      <c r="L1306" s="1186">
        <v>3.67</v>
      </c>
      <c r="M1306" s="1186">
        <v>4.88</v>
      </c>
      <c r="N1306" s="1186">
        <v>5.01</v>
      </c>
      <c r="O1306" s="1186">
        <v>8.4499999999999993</v>
      </c>
      <c r="P1306" s="1186">
        <v>4.33</v>
      </c>
      <c r="Q1306" s="1186">
        <v>8.4600000000000009</v>
      </c>
      <c r="R1306" s="1186">
        <v>2.0499999999999998</v>
      </c>
      <c r="S1306" s="1186">
        <v>7.39</v>
      </c>
      <c r="T1306" s="1186">
        <v>3.16</v>
      </c>
      <c r="U1306" s="1186">
        <v>7.8</v>
      </c>
      <c r="V1306" s="1186">
        <v>3.27</v>
      </c>
      <c r="W1306" s="1186"/>
      <c r="X1306" s="1186"/>
      <c r="Y1306" s="1186"/>
      <c r="Z1306" s="1186"/>
      <c r="AA1306" s="1186"/>
      <c r="AB1306" s="1186"/>
      <c r="AC1306" s="1186"/>
      <c r="AD1306" s="1187"/>
    </row>
    <row r="1307" spans="1:30" x14ac:dyDescent="0.2">
      <c r="A1307">
        <f t="shared" si="54"/>
        <v>33</v>
      </c>
      <c r="B1307">
        <v>1298</v>
      </c>
      <c r="C1307" s="1078">
        <v>2</v>
      </c>
      <c r="D1307" s="1077" t="s">
        <v>5532</v>
      </c>
      <c r="E1307" s="1077" t="s">
        <v>5350</v>
      </c>
      <c r="F1307" s="1185">
        <v>4</v>
      </c>
      <c r="G1307" s="1186">
        <v>11</v>
      </c>
      <c r="H1307" s="1186">
        <v>2.6</v>
      </c>
      <c r="I1307" s="1186">
        <v>13.9</v>
      </c>
      <c r="J1307" s="1186">
        <v>3.21</v>
      </c>
      <c r="K1307" s="1186">
        <v>8.1</v>
      </c>
      <c r="L1307" s="1186">
        <v>4.2</v>
      </c>
      <c r="M1307" s="1186">
        <v>5.8</v>
      </c>
      <c r="N1307" s="1186">
        <v>4.33</v>
      </c>
      <c r="O1307" s="1186">
        <v>6</v>
      </c>
      <c r="P1307" s="1186">
        <v>4.7</v>
      </c>
      <c r="Q1307" s="1186">
        <v>13.7</v>
      </c>
      <c r="R1307" s="1186">
        <v>2.41</v>
      </c>
      <c r="S1307" s="1186">
        <v>12</v>
      </c>
      <c r="T1307" s="1186">
        <v>3.31</v>
      </c>
      <c r="U1307" s="1186">
        <v>6.5</v>
      </c>
      <c r="V1307" s="1186">
        <v>3.4</v>
      </c>
      <c r="W1307" s="1186"/>
      <c r="X1307" s="1186"/>
      <c r="Y1307" s="1186"/>
      <c r="Z1307" s="1186"/>
      <c r="AA1307" s="1186"/>
      <c r="AB1307" s="1186"/>
      <c r="AC1307" s="1186"/>
      <c r="AD1307" s="1187"/>
    </row>
    <row r="1308" spans="1:30" x14ac:dyDescent="0.2">
      <c r="A1308">
        <f t="shared" si="54"/>
        <v>33</v>
      </c>
      <c r="B1308">
        <v>1299</v>
      </c>
      <c r="C1308" s="1078">
        <v>2</v>
      </c>
      <c r="D1308" s="1077" t="s">
        <v>5532</v>
      </c>
      <c r="E1308" s="1077" t="s">
        <v>4473</v>
      </c>
      <c r="F1308" s="1185">
        <v>1</v>
      </c>
      <c r="G1308" s="1186">
        <v>8.8000000000000007</v>
      </c>
      <c r="H1308" s="1186">
        <v>2.6</v>
      </c>
      <c r="I1308" s="1186">
        <v>10.8</v>
      </c>
      <c r="J1308" s="1186">
        <v>3</v>
      </c>
      <c r="K1308" s="1186">
        <v>13.8</v>
      </c>
      <c r="L1308" s="1186">
        <v>3.7</v>
      </c>
      <c r="M1308" s="1186">
        <v>14.4</v>
      </c>
      <c r="N1308" s="1186">
        <v>4.3</v>
      </c>
      <c r="O1308" s="1186">
        <v>22.1</v>
      </c>
      <c r="P1308" s="1186">
        <v>5.5</v>
      </c>
      <c r="Q1308" s="1186">
        <v>10.4</v>
      </c>
      <c r="R1308" s="1186">
        <v>2</v>
      </c>
      <c r="S1308" s="1186">
        <v>13.8</v>
      </c>
      <c r="T1308" s="1186">
        <v>2.6</v>
      </c>
      <c r="U1308" s="1186">
        <v>20.8</v>
      </c>
      <c r="V1308" s="1186">
        <v>3.4</v>
      </c>
      <c r="W1308" s="1186"/>
      <c r="X1308" s="1186"/>
      <c r="Y1308" s="1186"/>
      <c r="Z1308" s="1186"/>
      <c r="AA1308" s="1186"/>
      <c r="AB1308" s="1186"/>
      <c r="AC1308" s="1186"/>
      <c r="AD1308" s="1187"/>
    </row>
    <row r="1309" spans="1:30" x14ac:dyDescent="0.2">
      <c r="A1309">
        <f t="shared" si="54"/>
        <v>33</v>
      </c>
      <c r="B1309">
        <v>1300</v>
      </c>
      <c r="C1309" s="1078">
        <v>2</v>
      </c>
      <c r="D1309" s="1077" t="s">
        <v>5532</v>
      </c>
      <c r="E1309" s="1207" t="s">
        <v>4474</v>
      </c>
      <c r="F1309" s="1185">
        <v>2</v>
      </c>
      <c r="G1309" s="1186">
        <v>11</v>
      </c>
      <c r="H1309" s="1186">
        <v>2.2999999999999998</v>
      </c>
      <c r="I1309" s="1186">
        <v>14.1</v>
      </c>
      <c r="J1309" s="1186">
        <v>2.8</v>
      </c>
      <c r="K1309" s="1186">
        <v>9.5</v>
      </c>
      <c r="L1309" s="1186">
        <v>3.8</v>
      </c>
      <c r="M1309" s="1186">
        <v>10.1</v>
      </c>
      <c r="N1309" s="1186">
        <v>4.2</v>
      </c>
      <c r="O1309" s="1186">
        <v>16.600000000000001</v>
      </c>
      <c r="P1309" s="1186">
        <v>5.4</v>
      </c>
      <c r="Q1309" s="1186">
        <v>12.7</v>
      </c>
      <c r="R1309" s="1186">
        <v>1.8</v>
      </c>
      <c r="S1309" s="1186">
        <v>17.5</v>
      </c>
      <c r="T1309" s="1186">
        <v>2.5</v>
      </c>
      <c r="U1309" s="1186">
        <v>24.8</v>
      </c>
      <c r="V1309" s="1186">
        <v>3.6</v>
      </c>
      <c r="W1309" s="1186"/>
      <c r="X1309" s="1186"/>
      <c r="Y1309" s="1186"/>
      <c r="Z1309" s="1186"/>
      <c r="AA1309" s="1186"/>
      <c r="AB1309" s="1186"/>
      <c r="AC1309" s="1186"/>
      <c r="AD1309" s="1187"/>
    </row>
    <row r="1310" spans="1:30" x14ac:dyDescent="0.2">
      <c r="A1310">
        <f t="shared" si="54"/>
        <v>33</v>
      </c>
      <c r="B1310">
        <v>1301</v>
      </c>
      <c r="C1310" s="1078">
        <v>2</v>
      </c>
      <c r="D1310" s="1077" t="s">
        <v>5532</v>
      </c>
      <c r="E1310" s="1077" t="s">
        <v>5050</v>
      </c>
      <c r="F1310" s="1185">
        <v>2</v>
      </c>
      <c r="G1310" s="1186">
        <v>15.5</v>
      </c>
      <c r="H1310" s="1186">
        <v>2.5</v>
      </c>
      <c r="I1310" s="1186">
        <v>19.399999999999999</v>
      </c>
      <c r="J1310" s="1186">
        <v>2.8</v>
      </c>
      <c r="K1310" s="1186">
        <v>13.2</v>
      </c>
      <c r="L1310" s="1186">
        <v>3.8</v>
      </c>
      <c r="M1310" s="1186">
        <v>14.1</v>
      </c>
      <c r="N1310" s="1186">
        <v>4.2</v>
      </c>
      <c r="O1310" s="1186">
        <v>24.2</v>
      </c>
      <c r="P1310" s="1186">
        <v>6</v>
      </c>
      <c r="Q1310" s="1186">
        <v>18.5</v>
      </c>
      <c r="R1310" s="1186">
        <v>1.8</v>
      </c>
      <c r="S1310" s="1186">
        <v>26.5</v>
      </c>
      <c r="T1310" s="1186">
        <v>2.5</v>
      </c>
      <c r="U1310" s="1186">
        <v>39</v>
      </c>
      <c r="V1310" s="1186">
        <v>3.5</v>
      </c>
      <c r="W1310" s="1186"/>
      <c r="X1310" s="1186"/>
      <c r="Y1310" s="1186"/>
      <c r="Z1310" s="1186"/>
      <c r="AA1310" s="1186"/>
      <c r="AB1310" s="1186"/>
      <c r="AC1310" s="1186"/>
      <c r="AD1310" s="1187"/>
    </row>
    <row r="1311" spans="1:30" x14ac:dyDescent="0.2">
      <c r="A1311">
        <f t="shared" si="54"/>
        <v>33</v>
      </c>
      <c r="B1311">
        <v>1302</v>
      </c>
      <c r="C1311" s="1078">
        <v>2</v>
      </c>
      <c r="D1311" s="1077" t="s">
        <v>5532</v>
      </c>
      <c r="E1311" s="1077" t="s">
        <v>5051</v>
      </c>
      <c r="F1311" s="1185">
        <v>2</v>
      </c>
      <c r="G1311" s="1186">
        <v>19</v>
      </c>
      <c r="H1311" s="1186">
        <v>2.2999999999999998</v>
      </c>
      <c r="I1311" s="1186">
        <v>24.28</v>
      </c>
      <c r="J1311" s="1186">
        <v>2.77</v>
      </c>
      <c r="K1311" s="1186">
        <v>29.67</v>
      </c>
      <c r="L1311" s="1186">
        <v>3.41</v>
      </c>
      <c r="M1311" s="1186">
        <v>32.5</v>
      </c>
      <c r="N1311" s="1186">
        <v>3.8</v>
      </c>
      <c r="O1311" s="1186">
        <v>45</v>
      </c>
      <c r="P1311" s="1186">
        <v>4.8</v>
      </c>
      <c r="Q1311" s="1186">
        <v>24.28</v>
      </c>
      <c r="R1311" s="1186">
        <v>1.86</v>
      </c>
      <c r="S1311" s="1186">
        <v>34</v>
      </c>
      <c r="T1311" s="1186">
        <v>2.6</v>
      </c>
      <c r="U1311" s="1186">
        <v>44</v>
      </c>
      <c r="V1311" s="1186">
        <v>3.4</v>
      </c>
      <c r="W1311" s="1186"/>
      <c r="X1311" s="1186"/>
      <c r="Y1311" s="1186"/>
      <c r="Z1311" s="1186"/>
      <c r="AA1311" s="1186"/>
      <c r="AB1311" s="1186"/>
      <c r="AC1311" s="1186"/>
      <c r="AD1311" s="1187"/>
    </row>
    <row r="1312" spans="1:30" x14ac:dyDescent="0.2">
      <c r="A1312">
        <f t="shared" si="54"/>
        <v>33</v>
      </c>
      <c r="B1312">
        <v>1303</v>
      </c>
      <c r="C1312" s="1078">
        <v>2</v>
      </c>
      <c r="D1312" s="1077" t="s">
        <v>5532</v>
      </c>
      <c r="E1312" s="1077" t="s">
        <v>5052</v>
      </c>
      <c r="F1312" s="1185">
        <v>4</v>
      </c>
      <c r="G1312" s="1186">
        <v>3.4</v>
      </c>
      <c r="H1312" s="1186">
        <v>2.42</v>
      </c>
      <c r="I1312" s="1186">
        <v>6.4</v>
      </c>
      <c r="J1312" s="1186">
        <v>3.17</v>
      </c>
      <c r="K1312" s="1186">
        <v>4.05</v>
      </c>
      <c r="L1312" s="1186">
        <v>4.13</v>
      </c>
      <c r="M1312" s="1186">
        <v>3.72</v>
      </c>
      <c r="N1312" s="1186">
        <v>5.16</v>
      </c>
      <c r="O1312" s="1186">
        <v>4.72</v>
      </c>
      <c r="P1312" s="1186">
        <v>4.32</v>
      </c>
      <c r="Q1312" s="1186">
        <v>4.93</v>
      </c>
      <c r="R1312" s="1186">
        <v>2.2000000000000002</v>
      </c>
      <c r="S1312" s="1186">
        <v>4.8499999999999996</v>
      </c>
      <c r="T1312" s="1186">
        <v>2.5299999999999998</v>
      </c>
      <c r="U1312" s="1186">
        <v>4.2699999999999996</v>
      </c>
      <c r="V1312" s="1186">
        <v>2.5</v>
      </c>
      <c r="W1312" s="1186"/>
      <c r="X1312" s="1186"/>
      <c r="Y1312" s="1186"/>
      <c r="Z1312" s="1186"/>
      <c r="AA1312" s="1186"/>
      <c r="AB1312" s="1186"/>
      <c r="AC1312" s="1186"/>
      <c r="AD1312" s="1187"/>
    </row>
    <row r="1313" spans="1:30" x14ac:dyDescent="0.2">
      <c r="A1313">
        <f t="shared" si="54"/>
        <v>33</v>
      </c>
      <c r="B1313">
        <v>1304</v>
      </c>
      <c r="C1313" s="1078">
        <v>2</v>
      </c>
      <c r="D1313" s="1077" t="s">
        <v>5532</v>
      </c>
      <c r="E1313" s="1077" t="s">
        <v>5053</v>
      </c>
      <c r="F1313" s="1185">
        <v>4</v>
      </c>
      <c r="G1313" s="1186">
        <v>4.2</v>
      </c>
      <c r="H1313" s="1186">
        <v>2</v>
      </c>
      <c r="I1313" s="1186">
        <v>8.5</v>
      </c>
      <c r="J1313" s="1186">
        <v>2.63</v>
      </c>
      <c r="K1313" s="1186">
        <v>7.36</v>
      </c>
      <c r="L1313" s="1186">
        <v>3.67</v>
      </c>
      <c r="M1313" s="1186">
        <v>4.88</v>
      </c>
      <c r="N1313" s="1186">
        <v>5.01</v>
      </c>
      <c r="O1313" s="1186">
        <v>8.4499999999999993</v>
      </c>
      <c r="P1313" s="1186">
        <v>4.33</v>
      </c>
      <c r="Q1313" s="1186">
        <v>8.4600000000000009</v>
      </c>
      <c r="R1313" s="1186">
        <v>2.0499999999999998</v>
      </c>
      <c r="S1313" s="1186">
        <v>7.39</v>
      </c>
      <c r="T1313" s="1186">
        <v>3.16</v>
      </c>
      <c r="U1313" s="1186">
        <v>7.8</v>
      </c>
      <c r="V1313" s="1186">
        <v>3.27</v>
      </c>
      <c r="W1313" s="1186"/>
      <c r="X1313" s="1186"/>
      <c r="Y1313" s="1186"/>
      <c r="Z1313" s="1186"/>
      <c r="AA1313" s="1186"/>
      <c r="AB1313" s="1186"/>
      <c r="AC1313" s="1186"/>
      <c r="AD1313" s="1187"/>
    </row>
    <row r="1314" spans="1:30" x14ac:dyDescent="0.2">
      <c r="A1314">
        <f t="shared" si="54"/>
        <v>33</v>
      </c>
      <c r="B1314">
        <v>1305</v>
      </c>
      <c r="C1314" s="1078">
        <v>2</v>
      </c>
      <c r="D1314" s="1077" t="s">
        <v>5532</v>
      </c>
      <c r="E1314" s="1077" t="s">
        <v>5054</v>
      </c>
      <c r="F1314" s="1185">
        <v>4</v>
      </c>
      <c r="G1314" s="1186">
        <v>3.4</v>
      </c>
      <c r="H1314" s="1186">
        <v>2.42</v>
      </c>
      <c r="I1314" s="1186">
        <v>6.4</v>
      </c>
      <c r="J1314" s="1186">
        <v>3.17</v>
      </c>
      <c r="K1314" s="1186">
        <v>4.05</v>
      </c>
      <c r="L1314" s="1186">
        <v>4.13</v>
      </c>
      <c r="M1314" s="1186">
        <v>3.72</v>
      </c>
      <c r="N1314" s="1186">
        <v>5.16</v>
      </c>
      <c r="O1314" s="1186">
        <v>4.72</v>
      </c>
      <c r="P1314" s="1186">
        <v>4.32</v>
      </c>
      <c r="Q1314" s="1186">
        <v>4.93</v>
      </c>
      <c r="R1314" s="1186">
        <v>2.2000000000000002</v>
      </c>
      <c r="S1314" s="1186">
        <v>4.8499999999999996</v>
      </c>
      <c r="T1314" s="1186">
        <v>2.5299999999999998</v>
      </c>
      <c r="U1314" s="1186">
        <v>4.2699999999999996</v>
      </c>
      <c r="V1314" s="1186">
        <v>2.5</v>
      </c>
      <c r="W1314" s="1186"/>
      <c r="X1314" s="1186"/>
      <c r="Y1314" s="1186"/>
      <c r="Z1314" s="1186"/>
      <c r="AA1314" s="1186"/>
      <c r="AB1314" s="1186"/>
      <c r="AC1314" s="1186"/>
      <c r="AD1314" s="1187"/>
    </row>
    <row r="1315" spans="1:30" x14ac:dyDescent="0.2">
      <c r="A1315">
        <f t="shared" si="54"/>
        <v>33</v>
      </c>
      <c r="B1315">
        <v>1306</v>
      </c>
      <c r="C1315" s="1078">
        <v>2</v>
      </c>
      <c r="D1315" s="1077" t="s">
        <v>5532</v>
      </c>
      <c r="E1315" s="1077" t="s">
        <v>5055</v>
      </c>
      <c r="F1315" s="1185">
        <v>4</v>
      </c>
      <c r="G1315" s="1186">
        <v>4.2</v>
      </c>
      <c r="H1315" s="1186">
        <v>2</v>
      </c>
      <c r="I1315" s="1186">
        <v>8.5</v>
      </c>
      <c r="J1315" s="1186">
        <v>2.63</v>
      </c>
      <c r="K1315" s="1186">
        <v>7.36</v>
      </c>
      <c r="L1315" s="1186">
        <v>3.67</v>
      </c>
      <c r="M1315" s="1186">
        <v>4.88</v>
      </c>
      <c r="N1315" s="1186">
        <v>5.01</v>
      </c>
      <c r="O1315" s="1186">
        <v>8.4499999999999993</v>
      </c>
      <c r="P1315" s="1186">
        <v>4.33</v>
      </c>
      <c r="Q1315" s="1186">
        <v>8.4600000000000009</v>
      </c>
      <c r="R1315" s="1186">
        <v>2.0499999999999998</v>
      </c>
      <c r="S1315" s="1186">
        <v>7.39</v>
      </c>
      <c r="T1315" s="1186">
        <v>3.16</v>
      </c>
      <c r="U1315" s="1186">
        <v>7.8</v>
      </c>
      <c r="V1315" s="1186">
        <v>3.27</v>
      </c>
      <c r="W1315" s="1186"/>
      <c r="X1315" s="1186"/>
      <c r="Y1315" s="1186"/>
      <c r="Z1315" s="1186"/>
      <c r="AA1315" s="1186"/>
      <c r="AB1315" s="1186"/>
      <c r="AC1315" s="1186"/>
      <c r="AD1315" s="1187"/>
    </row>
    <row r="1316" spans="1:30" x14ac:dyDescent="0.2">
      <c r="A1316">
        <f t="shared" si="54"/>
        <v>33</v>
      </c>
      <c r="B1316">
        <v>1307</v>
      </c>
      <c r="C1316" s="1078">
        <v>2</v>
      </c>
      <c r="D1316" s="1077" t="s">
        <v>5532</v>
      </c>
      <c r="E1316" s="1077" t="s">
        <v>5056</v>
      </c>
      <c r="F1316" s="1185">
        <v>2</v>
      </c>
      <c r="G1316" s="1186">
        <v>19</v>
      </c>
      <c r="H1316" s="1186">
        <v>2.2999999999999998</v>
      </c>
      <c r="I1316" s="1186">
        <v>24.28</v>
      </c>
      <c r="J1316" s="1186">
        <v>2.77</v>
      </c>
      <c r="K1316" s="1186">
        <v>29.67</v>
      </c>
      <c r="L1316" s="1186">
        <v>3.41</v>
      </c>
      <c r="M1316" s="1186">
        <v>32.5</v>
      </c>
      <c r="N1316" s="1186">
        <v>3.8</v>
      </c>
      <c r="O1316" s="1186">
        <v>45</v>
      </c>
      <c r="P1316" s="1186">
        <v>4.8</v>
      </c>
      <c r="Q1316" s="1186">
        <v>24.28</v>
      </c>
      <c r="R1316" s="1186">
        <v>1.86</v>
      </c>
      <c r="S1316" s="1186">
        <v>34</v>
      </c>
      <c r="T1316" s="1186">
        <v>2.6</v>
      </c>
      <c r="U1316" s="1186">
        <v>44</v>
      </c>
      <c r="V1316" s="1186">
        <v>3.4</v>
      </c>
      <c r="W1316" s="1186"/>
      <c r="X1316" s="1186"/>
      <c r="Y1316" s="1186"/>
      <c r="Z1316" s="1186"/>
      <c r="AA1316" s="1186"/>
      <c r="AB1316" s="1186"/>
      <c r="AC1316" s="1186"/>
      <c r="AD1316" s="1187"/>
    </row>
    <row r="1317" spans="1:30" x14ac:dyDescent="0.2">
      <c r="A1317">
        <f t="shared" si="54"/>
        <v>33</v>
      </c>
      <c r="B1317">
        <v>1308</v>
      </c>
      <c r="C1317" s="1078">
        <v>2</v>
      </c>
      <c r="D1317" s="1077" t="s">
        <v>5532</v>
      </c>
      <c r="E1317" s="1077" t="s">
        <v>4469</v>
      </c>
      <c r="F1317" s="1185">
        <v>4</v>
      </c>
      <c r="G1317" s="1186">
        <v>4.2</v>
      </c>
      <c r="H1317" s="1186">
        <v>2.6</v>
      </c>
      <c r="I1317" s="1186">
        <v>5.2</v>
      </c>
      <c r="J1317" s="1186">
        <v>3</v>
      </c>
      <c r="K1317" s="1186">
        <v>4.03</v>
      </c>
      <c r="L1317" s="1186">
        <v>4.43</v>
      </c>
      <c r="M1317" s="1186">
        <v>5.31</v>
      </c>
      <c r="N1317" s="1186">
        <v>5.07</v>
      </c>
      <c r="O1317" s="1186">
        <v>5.0999999999999996</v>
      </c>
      <c r="P1317" s="1186">
        <v>6</v>
      </c>
      <c r="Q1317" s="1186">
        <v>5.55</v>
      </c>
      <c r="R1317" s="1186">
        <v>2.19</v>
      </c>
      <c r="S1317" s="1186">
        <v>6.32</v>
      </c>
      <c r="T1317" s="1186">
        <v>2.97</v>
      </c>
      <c r="U1317" s="1186">
        <v>4.68</v>
      </c>
      <c r="V1317" s="1186">
        <v>3.31</v>
      </c>
      <c r="W1317" s="1186"/>
      <c r="X1317" s="1186"/>
      <c r="Y1317" s="1186"/>
      <c r="Z1317" s="1186"/>
      <c r="AA1317" s="1186"/>
      <c r="AB1317" s="1186"/>
      <c r="AC1317" s="1186"/>
      <c r="AD1317" s="1187"/>
    </row>
    <row r="1318" spans="1:30" x14ac:dyDescent="0.2">
      <c r="A1318">
        <f t="shared" si="54"/>
        <v>33</v>
      </c>
      <c r="B1318">
        <v>1309</v>
      </c>
      <c r="C1318" s="1078">
        <v>2</v>
      </c>
      <c r="D1318" s="1077" t="s">
        <v>5532</v>
      </c>
      <c r="E1318" s="1077" t="s">
        <v>4470</v>
      </c>
      <c r="F1318" s="1185">
        <v>4</v>
      </c>
      <c r="G1318" s="1186">
        <v>6.5</v>
      </c>
      <c r="H1318" s="1186">
        <v>2.7</v>
      </c>
      <c r="I1318" s="1186">
        <v>7.4</v>
      </c>
      <c r="J1318" s="1186">
        <v>3.1</v>
      </c>
      <c r="K1318" s="1186">
        <v>5.21</v>
      </c>
      <c r="L1318" s="1186">
        <v>4.2699999999999996</v>
      </c>
      <c r="M1318" s="1186">
        <v>3.54</v>
      </c>
      <c r="N1318" s="1186">
        <v>5.12</v>
      </c>
      <c r="O1318" s="1186">
        <v>8.4</v>
      </c>
      <c r="P1318" s="1186">
        <v>6</v>
      </c>
      <c r="Q1318" s="1186">
        <v>7.66</v>
      </c>
      <c r="R1318" s="1186">
        <v>2.25</v>
      </c>
      <c r="S1318" s="1186">
        <v>10</v>
      </c>
      <c r="T1318" s="1186">
        <v>3.01</v>
      </c>
      <c r="U1318" s="1186">
        <v>7.65</v>
      </c>
      <c r="V1318" s="1186">
        <v>3.4</v>
      </c>
      <c r="W1318" s="1186"/>
      <c r="X1318" s="1186"/>
      <c r="Y1318" s="1186"/>
      <c r="Z1318" s="1186"/>
      <c r="AA1318" s="1186"/>
      <c r="AB1318" s="1186"/>
      <c r="AC1318" s="1186"/>
      <c r="AD1318" s="1187"/>
    </row>
    <row r="1319" spans="1:30" x14ac:dyDescent="0.2">
      <c r="A1319">
        <f t="shared" si="54"/>
        <v>33</v>
      </c>
      <c r="B1319">
        <v>1310</v>
      </c>
      <c r="C1319" s="1078">
        <v>2</v>
      </c>
      <c r="D1319" s="1077" t="s">
        <v>5532</v>
      </c>
      <c r="E1319" s="1077" t="s">
        <v>4471</v>
      </c>
      <c r="F1319" s="1185">
        <v>4</v>
      </c>
      <c r="G1319" s="1186">
        <v>9.1</v>
      </c>
      <c r="H1319" s="1186">
        <v>2.7</v>
      </c>
      <c r="I1319" s="1186">
        <v>10.199999999999999</v>
      </c>
      <c r="J1319" s="1186">
        <v>3.1</v>
      </c>
      <c r="K1319" s="1186">
        <v>7.8</v>
      </c>
      <c r="L1319" s="1186">
        <v>4.3600000000000003</v>
      </c>
      <c r="M1319" s="1186">
        <v>5.17</v>
      </c>
      <c r="N1319" s="1186">
        <v>5.1100000000000003</v>
      </c>
      <c r="O1319" s="1186">
        <v>10.6</v>
      </c>
      <c r="P1319" s="1186">
        <v>6</v>
      </c>
      <c r="Q1319" s="1186">
        <v>10.9</v>
      </c>
      <c r="R1319" s="1186">
        <v>2.35</v>
      </c>
      <c r="S1319" s="1186">
        <v>13.7</v>
      </c>
      <c r="T1319" s="1186">
        <v>3.11</v>
      </c>
      <c r="U1319" s="1186">
        <v>9.75</v>
      </c>
      <c r="V1319" s="1186">
        <v>3.35</v>
      </c>
      <c r="W1319" s="1186"/>
      <c r="X1319" s="1186"/>
      <c r="Y1319" s="1186"/>
      <c r="Z1319" s="1186"/>
      <c r="AA1319" s="1186"/>
      <c r="AB1319" s="1186"/>
      <c r="AC1319" s="1186"/>
      <c r="AD1319" s="1187"/>
    </row>
    <row r="1320" spans="1:30" x14ac:dyDescent="0.2">
      <c r="A1320">
        <f t="shared" si="54"/>
        <v>33</v>
      </c>
      <c r="B1320">
        <v>1311</v>
      </c>
      <c r="C1320" s="1078">
        <v>2</v>
      </c>
      <c r="D1320" s="1077" t="s">
        <v>5532</v>
      </c>
      <c r="E1320" s="1077" t="s">
        <v>4472</v>
      </c>
      <c r="F1320" s="1185">
        <v>4</v>
      </c>
      <c r="G1320" s="1186">
        <v>11.2</v>
      </c>
      <c r="H1320" s="1186">
        <v>2.6</v>
      </c>
      <c r="I1320" s="1186">
        <v>13.5</v>
      </c>
      <c r="J1320" s="1186">
        <v>2.9</v>
      </c>
      <c r="K1320" s="1186">
        <v>9.9499999999999993</v>
      </c>
      <c r="L1320" s="1186">
        <v>4.22</v>
      </c>
      <c r="M1320" s="1186">
        <v>5.17</v>
      </c>
      <c r="N1320" s="1186">
        <v>5.1100000000000003</v>
      </c>
      <c r="O1320" s="1186">
        <v>14.9</v>
      </c>
      <c r="P1320" s="1186">
        <v>5.6</v>
      </c>
      <c r="Q1320" s="1186">
        <v>14.2</v>
      </c>
      <c r="R1320" s="1186">
        <v>2.2000000000000002</v>
      </c>
      <c r="S1320" s="1186">
        <v>17</v>
      </c>
      <c r="T1320" s="1186">
        <v>2.93</v>
      </c>
      <c r="U1320" s="1186">
        <v>13.6</v>
      </c>
      <c r="V1320" s="1186">
        <v>3.24</v>
      </c>
      <c r="W1320" s="1186"/>
      <c r="X1320" s="1186"/>
      <c r="Y1320" s="1186"/>
      <c r="Z1320" s="1186"/>
      <c r="AA1320" s="1186"/>
      <c r="AB1320" s="1186"/>
      <c r="AC1320" s="1186"/>
      <c r="AD1320" s="1187"/>
    </row>
    <row r="1321" spans="1:30" x14ac:dyDescent="0.2">
      <c r="A1321">
        <f t="shared" si="54"/>
        <v>33</v>
      </c>
      <c r="B1321">
        <v>1312</v>
      </c>
      <c r="C1321" s="1078">
        <v>2</v>
      </c>
      <c r="D1321" s="1077" t="s">
        <v>5532</v>
      </c>
      <c r="E1321" s="1077" t="s">
        <v>5161</v>
      </c>
      <c r="F1321" s="1185">
        <v>4</v>
      </c>
      <c r="G1321" s="1186">
        <v>4</v>
      </c>
      <c r="H1321" s="1186">
        <v>2.8</v>
      </c>
      <c r="I1321" s="1186">
        <v>5.52</v>
      </c>
      <c r="J1321" s="1186">
        <v>3.21</v>
      </c>
      <c r="K1321" s="1186">
        <v>6.3</v>
      </c>
      <c r="L1321" s="1186">
        <v>4.0999999999999996</v>
      </c>
      <c r="M1321" s="1186">
        <v>6.8</v>
      </c>
      <c r="N1321" s="1186">
        <v>4.8</v>
      </c>
      <c r="O1321" s="1186">
        <v>6.5</v>
      </c>
      <c r="P1321" s="1186">
        <v>6</v>
      </c>
      <c r="Q1321" s="1186">
        <v>5.17</v>
      </c>
      <c r="R1321" s="1186">
        <v>2.29</v>
      </c>
      <c r="S1321" s="1186">
        <v>2.8</v>
      </c>
      <c r="T1321" s="1186">
        <v>2.6</v>
      </c>
      <c r="U1321" s="1186">
        <v>6.05</v>
      </c>
      <c r="V1321" s="1186">
        <v>4</v>
      </c>
      <c r="W1321" s="1186"/>
      <c r="X1321" s="1186"/>
      <c r="Y1321" s="1186"/>
      <c r="Z1321" s="1186"/>
      <c r="AA1321" s="1186"/>
      <c r="AB1321" s="1186"/>
      <c r="AC1321" s="1186"/>
      <c r="AD1321" s="1187"/>
    </row>
    <row r="1322" spans="1:30" x14ac:dyDescent="0.2">
      <c r="A1322">
        <f t="shared" si="54"/>
        <v>33</v>
      </c>
      <c r="B1322">
        <v>1313</v>
      </c>
      <c r="C1322" s="1078">
        <v>2</v>
      </c>
      <c r="D1322" s="1077" t="s">
        <v>5532</v>
      </c>
      <c r="E1322" s="1077" t="s">
        <v>5162</v>
      </c>
      <c r="F1322" s="1185">
        <v>4</v>
      </c>
      <c r="G1322" s="1186">
        <v>6.1</v>
      </c>
      <c r="H1322" s="1186">
        <v>2.5</v>
      </c>
      <c r="I1322" s="1186">
        <v>8.34</v>
      </c>
      <c r="J1322" s="1186">
        <v>2.88</v>
      </c>
      <c r="K1322" s="1186">
        <v>9.5</v>
      </c>
      <c r="L1322" s="1186">
        <v>3.9</v>
      </c>
      <c r="M1322" s="1186">
        <v>9.8000000000000007</v>
      </c>
      <c r="N1322" s="1186">
        <v>4.8</v>
      </c>
      <c r="O1322" s="1186">
        <v>9.8000000000000007</v>
      </c>
      <c r="P1322" s="1186">
        <v>6</v>
      </c>
      <c r="Q1322" s="1186">
        <v>8.18</v>
      </c>
      <c r="R1322" s="1186">
        <v>2.19</v>
      </c>
      <c r="S1322" s="1186">
        <v>3.05</v>
      </c>
      <c r="T1322" s="1186">
        <v>2.6</v>
      </c>
      <c r="U1322" s="1186">
        <v>9.1</v>
      </c>
      <c r="V1322" s="1186">
        <v>2.8</v>
      </c>
      <c r="W1322" s="1186"/>
      <c r="X1322" s="1186"/>
      <c r="Y1322" s="1186"/>
      <c r="Z1322" s="1186"/>
      <c r="AA1322" s="1186"/>
      <c r="AB1322" s="1186"/>
      <c r="AC1322" s="1186"/>
      <c r="AD1322" s="1187"/>
    </row>
    <row r="1323" spans="1:30" x14ac:dyDescent="0.2">
      <c r="A1323">
        <f t="shared" si="54"/>
        <v>33</v>
      </c>
      <c r="B1323">
        <v>1314</v>
      </c>
      <c r="C1323" s="1078">
        <v>2</v>
      </c>
      <c r="D1323" s="1077" t="s">
        <v>5532</v>
      </c>
      <c r="E1323" s="1077" t="s">
        <v>5677</v>
      </c>
      <c r="F1323" s="1185">
        <v>4</v>
      </c>
      <c r="G1323" s="1186">
        <v>9.34</v>
      </c>
      <c r="H1323" s="1186">
        <v>2.54</v>
      </c>
      <c r="I1323" s="1186">
        <v>11.42</v>
      </c>
      <c r="J1323" s="1186">
        <v>3.01</v>
      </c>
      <c r="K1323" s="1186">
        <v>9.1199999999999992</v>
      </c>
      <c r="L1323" s="1186">
        <v>3.97</v>
      </c>
      <c r="M1323" s="1186">
        <v>5.05</v>
      </c>
      <c r="N1323" s="1186">
        <v>5.49</v>
      </c>
      <c r="O1323" s="1186">
        <v>6.9</v>
      </c>
      <c r="P1323" s="1186">
        <v>8.74</v>
      </c>
      <c r="Q1323" s="1186">
        <v>11.31</v>
      </c>
      <c r="R1323" s="1186">
        <v>2.2799999999999998</v>
      </c>
      <c r="S1323" s="1186">
        <v>4.7699999999999996</v>
      </c>
      <c r="T1323" s="1186">
        <v>3.59</v>
      </c>
      <c r="U1323" s="1186">
        <v>6.51</v>
      </c>
      <c r="V1323" s="1186">
        <v>4.8899999999999997</v>
      </c>
      <c r="W1323" s="1186"/>
      <c r="X1323" s="1186"/>
      <c r="Y1323" s="1186"/>
      <c r="Z1323" s="1186"/>
      <c r="AA1323" s="1186"/>
      <c r="AB1323" s="1186"/>
      <c r="AC1323" s="1186"/>
      <c r="AD1323" s="1187"/>
    </row>
    <row r="1324" spans="1:30" x14ac:dyDescent="0.2">
      <c r="A1324">
        <f t="shared" si="54"/>
        <v>33</v>
      </c>
      <c r="B1324">
        <v>1315</v>
      </c>
      <c r="C1324" s="1078">
        <v>2</v>
      </c>
      <c r="D1324" s="1077" t="s">
        <v>5532</v>
      </c>
      <c r="E1324" s="1077" t="s">
        <v>5678</v>
      </c>
      <c r="F1324" s="1185">
        <v>4</v>
      </c>
      <c r="G1324" s="1186">
        <v>11.15</v>
      </c>
      <c r="H1324" s="1186">
        <v>2.4500000000000002</v>
      </c>
      <c r="I1324" s="1186">
        <v>13.64</v>
      </c>
      <c r="J1324" s="1186">
        <v>2.86</v>
      </c>
      <c r="K1324" s="1186">
        <v>9.1199999999999992</v>
      </c>
      <c r="L1324" s="1186">
        <v>3.97</v>
      </c>
      <c r="M1324" s="1186">
        <v>5.05</v>
      </c>
      <c r="N1324" s="1186">
        <v>5.49</v>
      </c>
      <c r="O1324" s="1186">
        <v>6.9</v>
      </c>
      <c r="P1324" s="1186">
        <v>8.74</v>
      </c>
      <c r="Q1324" s="1186">
        <v>13.45</v>
      </c>
      <c r="R1324" s="1186">
        <v>2.2000000000000002</v>
      </c>
      <c r="S1324" s="1186">
        <v>4.7699999999999996</v>
      </c>
      <c r="T1324" s="1186">
        <v>3.59</v>
      </c>
      <c r="U1324" s="1186">
        <v>6.51</v>
      </c>
      <c r="V1324" s="1186">
        <v>4.8899999999999997</v>
      </c>
      <c r="W1324" s="1186"/>
      <c r="X1324" s="1186"/>
      <c r="Y1324" s="1186"/>
      <c r="Z1324" s="1186"/>
      <c r="AA1324" s="1186"/>
      <c r="AB1324" s="1186"/>
      <c r="AC1324" s="1186"/>
      <c r="AD1324" s="1187"/>
    </row>
    <row r="1325" spans="1:30" x14ac:dyDescent="0.2">
      <c r="A1325">
        <f t="shared" si="54"/>
        <v>33</v>
      </c>
      <c r="B1325">
        <v>1316</v>
      </c>
      <c r="C1325" s="1078">
        <v>2</v>
      </c>
      <c r="D1325" s="1077" t="s">
        <v>5532</v>
      </c>
      <c r="E1325" s="1077" t="s">
        <v>5679</v>
      </c>
      <c r="F1325" s="1185">
        <v>4</v>
      </c>
      <c r="G1325" s="1186">
        <v>14.69</v>
      </c>
      <c r="H1325" s="1186">
        <v>2.5299999999999998</v>
      </c>
      <c r="I1325" s="1186">
        <v>18</v>
      </c>
      <c r="J1325" s="1186">
        <v>2.95</v>
      </c>
      <c r="K1325" s="1186">
        <v>11.35</v>
      </c>
      <c r="L1325" s="1186">
        <v>3.85</v>
      </c>
      <c r="M1325" s="1186">
        <v>9.6999999999999993</v>
      </c>
      <c r="N1325" s="1186">
        <v>4.99</v>
      </c>
      <c r="O1325" s="1186">
        <v>9.1199999999999992</v>
      </c>
      <c r="P1325" s="1186">
        <v>7.41</v>
      </c>
      <c r="Q1325" s="1186">
        <v>16.97</v>
      </c>
      <c r="R1325" s="1186">
        <v>2.17</v>
      </c>
      <c r="S1325" s="1186">
        <v>9.7100000000000009</v>
      </c>
      <c r="T1325" s="1186">
        <v>3.27</v>
      </c>
      <c r="U1325" s="1186">
        <v>8.39</v>
      </c>
      <c r="V1325" s="1186">
        <v>4.09</v>
      </c>
      <c r="W1325" s="1186"/>
      <c r="X1325" s="1186"/>
      <c r="Y1325" s="1186"/>
      <c r="Z1325" s="1186"/>
      <c r="AA1325" s="1186"/>
      <c r="AB1325" s="1186"/>
      <c r="AC1325" s="1186"/>
      <c r="AD1325" s="1187"/>
    </row>
    <row r="1326" spans="1:30" x14ac:dyDescent="0.2">
      <c r="A1326">
        <f t="shared" si="54"/>
        <v>33</v>
      </c>
      <c r="B1326">
        <v>1317</v>
      </c>
      <c r="C1326" s="1078">
        <v>3</v>
      </c>
      <c r="D1326" s="1077" t="s">
        <v>5532</v>
      </c>
      <c r="E1326" s="1077" t="s">
        <v>4475</v>
      </c>
      <c r="F1326" s="1185">
        <v>1</v>
      </c>
      <c r="G1326" s="1186"/>
      <c r="H1326" s="1186"/>
      <c r="I1326" s="1186"/>
      <c r="J1326" s="1186"/>
      <c r="K1326" s="1186"/>
      <c r="L1326" s="1186"/>
      <c r="M1326" s="1186"/>
      <c r="N1326" s="1186"/>
      <c r="O1326" s="1186"/>
      <c r="P1326" s="1186"/>
      <c r="Q1326" s="1186"/>
      <c r="R1326" s="1186"/>
      <c r="S1326" s="1186"/>
      <c r="T1326" s="1186"/>
      <c r="U1326" s="1186"/>
      <c r="V1326" s="1186"/>
      <c r="W1326" s="1186">
        <v>6.07</v>
      </c>
      <c r="X1326" s="1186">
        <v>4.59</v>
      </c>
      <c r="Y1326" s="1186">
        <v>4.54</v>
      </c>
      <c r="Z1326" s="1186">
        <v>2.96</v>
      </c>
      <c r="AA1326" s="1186"/>
      <c r="AB1326" s="1186"/>
      <c r="AC1326" s="1186"/>
      <c r="AD1326" s="1187"/>
    </row>
    <row r="1327" spans="1:30" x14ac:dyDescent="0.2">
      <c r="A1327">
        <f t="shared" si="54"/>
        <v>33</v>
      </c>
      <c r="B1327">
        <v>1318</v>
      </c>
      <c r="C1327" s="1078">
        <v>3</v>
      </c>
      <c r="D1327" s="1077" t="s">
        <v>5532</v>
      </c>
      <c r="E1327" s="1077" t="s">
        <v>4476</v>
      </c>
      <c r="F1327" s="1185">
        <v>1</v>
      </c>
      <c r="G1327" s="1186"/>
      <c r="H1327" s="1186"/>
      <c r="I1327" s="1186"/>
      <c r="J1327" s="1186"/>
      <c r="K1327" s="1186"/>
      <c r="L1327" s="1186"/>
      <c r="M1327" s="1186"/>
      <c r="N1327" s="1186"/>
      <c r="O1327" s="1186"/>
      <c r="P1327" s="1186"/>
      <c r="Q1327" s="1186"/>
      <c r="R1327" s="1186"/>
      <c r="S1327" s="1186"/>
      <c r="T1327" s="1186"/>
      <c r="U1327" s="1186"/>
      <c r="V1327" s="1186"/>
      <c r="W1327" s="1186">
        <v>7.67</v>
      </c>
      <c r="X1327" s="1186">
        <v>4.68</v>
      </c>
      <c r="Y1327" s="1186">
        <v>5.93</v>
      </c>
      <c r="Z1327" s="1186">
        <v>3.06</v>
      </c>
      <c r="AA1327" s="1186"/>
      <c r="AB1327" s="1186"/>
      <c r="AC1327" s="1186"/>
      <c r="AD1327" s="1187"/>
    </row>
    <row r="1328" spans="1:30" x14ac:dyDescent="0.2">
      <c r="A1328">
        <f t="shared" si="54"/>
        <v>33</v>
      </c>
      <c r="B1328">
        <v>1319</v>
      </c>
      <c r="C1328" s="1078">
        <v>3</v>
      </c>
      <c r="D1328" s="1077" t="s">
        <v>5532</v>
      </c>
      <c r="E1328" s="1077" t="s">
        <v>4477</v>
      </c>
      <c r="F1328" s="1185">
        <v>1</v>
      </c>
      <c r="G1328" s="1186"/>
      <c r="H1328" s="1186"/>
      <c r="I1328" s="1186"/>
      <c r="J1328" s="1186"/>
      <c r="K1328" s="1186"/>
      <c r="L1328" s="1186"/>
      <c r="M1328" s="1186"/>
      <c r="N1328" s="1186"/>
      <c r="O1328" s="1186"/>
      <c r="P1328" s="1186"/>
      <c r="Q1328" s="1186"/>
      <c r="R1328" s="1186"/>
      <c r="S1328" s="1186"/>
      <c r="T1328" s="1186"/>
      <c r="U1328" s="1186"/>
      <c r="V1328" s="1186"/>
      <c r="W1328" s="1186">
        <v>9.66</v>
      </c>
      <c r="X1328" s="1186">
        <v>4.8099999999999996</v>
      </c>
      <c r="Y1328" s="1186">
        <v>7.58</v>
      </c>
      <c r="Z1328" s="1186">
        <v>3.19</v>
      </c>
      <c r="AA1328" s="1186"/>
      <c r="AB1328" s="1186"/>
      <c r="AC1328" s="1186"/>
      <c r="AD1328" s="1187"/>
    </row>
    <row r="1329" spans="1:30" x14ac:dyDescent="0.2">
      <c r="A1329">
        <f t="shared" si="54"/>
        <v>33</v>
      </c>
      <c r="B1329">
        <v>1320</v>
      </c>
      <c r="C1329" s="1078">
        <v>3</v>
      </c>
      <c r="D1329" s="1077" t="s">
        <v>5532</v>
      </c>
      <c r="E1329" s="1077" t="s">
        <v>4478</v>
      </c>
      <c r="F1329" s="1185">
        <v>1</v>
      </c>
      <c r="G1329" s="1186"/>
      <c r="H1329" s="1186"/>
      <c r="I1329" s="1186"/>
      <c r="J1329" s="1186"/>
      <c r="K1329" s="1186"/>
      <c r="L1329" s="1186"/>
      <c r="M1329" s="1186"/>
      <c r="N1329" s="1186"/>
      <c r="O1329" s="1186"/>
      <c r="P1329" s="1186"/>
      <c r="Q1329" s="1186"/>
      <c r="R1329" s="1186"/>
      <c r="S1329" s="1186"/>
      <c r="T1329" s="1186"/>
      <c r="U1329" s="1186"/>
      <c r="V1329" s="1186"/>
      <c r="W1329" s="1186">
        <v>11.48</v>
      </c>
      <c r="X1329" s="1186">
        <v>4.57</v>
      </c>
      <c r="Y1329" s="1186">
        <v>10.71</v>
      </c>
      <c r="Z1329" s="1186">
        <v>3.11</v>
      </c>
      <c r="AA1329" s="1186"/>
      <c r="AB1329" s="1186"/>
      <c r="AC1329" s="1186"/>
      <c r="AD1329" s="1187"/>
    </row>
    <row r="1330" spans="1:30" x14ac:dyDescent="0.2">
      <c r="A1330">
        <f t="shared" si="54"/>
        <v>33</v>
      </c>
      <c r="B1330">
        <v>1321</v>
      </c>
      <c r="C1330" s="1078">
        <v>3</v>
      </c>
      <c r="D1330" s="1077" t="s">
        <v>5532</v>
      </c>
      <c r="E1330" s="1077" t="s">
        <v>4479</v>
      </c>
      <c r="F1330" s="1185">
        <v>1</v>
      </c>
      <c r="G1330" s="1186"/>
      <c r="H1330" s="1186"/>
      <c r="I1330" s="1186"/>
      <c r="J1330" s="1186"/>
      <c r="K1330" s="1186"/>
      <c r="L1330" s="1186"/>
      <c r="M1330" s="1186"/>
      <c r="N1330" s="1186"/>
      <c r="O1330" s="1186"/>
      <c r="P1330" s="1186"/>
      <c r="Q1330" s="1186"/>
      <c r="R1330" s="1186"/>
      <c r="S1330" s="1186"/>
      <c r="T1330" s="1186"/>
      <c r="U1330" s="1186"/>
      <c r="V1330" s="1186"/>
      <c r="W1330" s="1186">
        <v>15.37</v>
      </c>
      <c r="X1330" s="1186">
        <v>4.42</v>
      </c>
      <c r="Y1330" s="1186">
        <v>14.59</v>
      </c>
      <c r="Z1330" s="1186">
        <v>2.94</v>
      </c>
      <c r="AA1330" s="1186"/>
      <c r="AB1330" s="1186"/>
      <c r="AC1330" s="1186"/>
      <c r="AD1330" s="1187"/>
    </row>
    <row r="1331" spans="1:30" x14ac:dyDescent="0.2">
      <c r="A1331">
        <f t="shared" si="54"/>
        <v>33</v>
      </c>
      <c r="B1331">
        <v>1322</v>
      </c>
      <c r="C1331" s="1078">
        <v>3</v>
      </c>
      <c r="D1331" s="1077" t="s">
        <v>5532</v>
      </c>
      <c r="E1331" s="1077" t="s">
        <v>4480</v>
      </c>
      <c r="F1331" s="1185">
        <v>1</v>
      </c>
      <c r="G1331" s="1186"/>
      <c r="H1331" s="1186"/>
      <c r="I1331" s="1186"/>
      <c r="J1331" s="1186"/>
      <c r="K1331" s="1186"/>
      <c r="L1331" s="1186"/>
      <c r="M1331" s="1186"/>
      <c r="N1331" s="1186"/>
      <c r="O1331" s="1186"/>
      <c r="P1331" s="1186"/>
      <c r="Q1331" s="1186"/>
      <c r="R1331" s="1186"/>
      <c r="S1331" s="1186"/>
      <c r="T1331" s="1186"/>
      <c r="U1331" s="1186"/>
      <c r="V1331" s="1186"/>
      <c r="W1331" s="1186">
        <v>16.89</v>
      </c>
      <c r="X1331" s="1186">
        <v>4.3</v>
      </c>
      <c r="Y1331" s="1186">
        <v>15.99</v>
      </c>
      <c r="Z1331" s="1186">
        <v>3.07</v>
      </c>
      <c r="AA1331" s="1186"/>
      <c r="AB1331" s="1186"/>
      <c r="AC1331" s="1186"/>
      <c r="AD1331" s="1187"/>
    </row>
    <row r="1332" spans="1:30" x14ac:dyDescent="0.2">
      <c r="A1332">
        <f t="shared" si="54"/>
        <v>33</v>
      </c>
      <c r="B1332">
        <v>1323</v>
      </c>
      <c r="C1332" s="1078">
        <v>3</v>
      </c>
      <c r="D1332" s="1077" t="s">
        <v>5532</v>
      </c>
      <c r="E1332" s="1077" t="s">
        <v>4481</v>
      </c>
      <c r="F1332" s="1185">
        <v>1</v>
      </c>
      <c r="G1332" s="1186"/>
      <c r="H1332" s="1186"/>
      <c r="I1332" s="1186"/>
      <c r="J1332" s="1186"/>
      <c r="K1332" s="1186"/>
      <c r="L1332" s="1186"/>
      <c r="M1332" s="1186"/>
      <c r="N1332" s="1186"/>
      <c r="O1332" s="1186"/>
      <c r="P1332" s="1186"/>
      <c r="Q1332" s="1186"/>
      <c r="R1332" s="1186"/>
      <c r="S1332" s="1186"/>
      <c r="T1332" s="1186"/>
      <c r="U1332" s="1186"/>
      <c r="V1332" s="1186"/>
      <c r="W1332" s="1186">
        <v>23</v>
      </c>
      <c r="X1332" s="1186">
        <v>4.6500000000000004</v>
      </c>
      <c r="Y1332" s="1186">
        <v>22</v>
      </c>
      <c r="Z1332" s="1186">
        <v>3.1</v>
      </c>
      <c r="AA1332" s="1186"/>
      <c r="AB1332" s="1186"/>
      <c r="AC1332" s="1186"/>
      <c r="AD1332" s="1187"/>
    </row>
    <row r="1333" spans="1:30" x14ac:dyDescent="0.2">
      <c r="A1333">
        <f t="shared" si="54"/>
        <v>33</v>
      </c>
      <c r="B1333">
        <v>1324</v>
      </c>
      <c r="C1333" s="1078">
        <v>3</v>
      </c>
      <c r="D1333" s="1077" t="s">
        <v>5532</v>
      </c>
      <c r="E1333" s="1077" t="s">
        <v>4482</v>
      </c>
      <c r="F1333" s="1185">
        <v>1</v>
      </c>
      <c r="G1333" s="1186"/>
      <c r="H1333" s="1186"/>
      <c r="I1333" s="1186"/>
      <c r="J1333" s="1186"/>
      <c r="K1333" s="1186"/>
      <c r="L1333" s="1186"/>
      <c r="M1333" s="1186"/>
      <c r="N1333" s="1186"/>
      <c r="O1333" s="1186"/>
      <c r="P1333" s="1186"/>
      <c r="Q1333" s="1186"/>
      <c r="R1333" s="1186"/>
      <c r="S1333" s="1186"/>
      <c r="T1333" s="1186"/>
      <c r="U1333" s="1186"/>
      <c r="V1333" s="1186"/>
      <c r="W1333" s="1186">
        <v>30.72</v>
      </c>
      <c r="X1333" s="1186">
        <v>4.4400000000000004</v>
      </c>
      <c r="Y1333" s="1186">
        <v>29.4</v>
      </c>
      <c r="Z1333" s="1186">
        <v>2.9</v>
      </c>
      <c r="AA1333" s="1186"/>
      <c r="AB1333" s="1186"/>
      <c r="AC1333" s="1186"/>
      <c r="AD1333" s="1187"/>
    </row>
    <row r="1334" spans="1:30" x14ac:dyDescent="0.2">
      <c r="A1334">
        <f t="shared" si="54"/>
        <v>33</v>
      </c>
      <c r="B1334">
        <v>1325</v>
      </c>
      <c r="C1334" s="1078">
        <v>3</v>
      </c>
      <c r="D1334" s="1077" t="s">
        <v>5532</v>
      </c>
      <c r="E1334" s="1077" t="s">
        <v>4483</v>
      </c>
      <c r="F1334" s="1185">
        <v>1</v>
      </c>
      <c r="G1334" s="1186"/>
      <c r="H1334" s="1186"/>
      <c r="I1334" s="1186"/>
      <c r="J1334" s="1186"/>
      <c r="K1334" s="1186"/>
      <c r="L1334" s="1186"/>
      <c r="M1334" s="1186"/>
      <c r="N1334" s="1186"/>
      <c r="O1334" s="1186"/>
      <c r="P1334" s="1186"/>
      <c r="Q1334" s="1186"/>
      <c r="R1334" s="1186"/>
      <c r="S1334" s="1186"/>
      <c r="T1334" s="1186"/>
      <c r="U1334" s="1186"/>
      <c r="V1334" s="1186"/>
      <c r="W1334" s="1186">
        <v>39.94</v>
      </c>
      <c r="X1334" s="1186">
        <v>4.49</v>
      </c>
      <c r="Y1334" s="1186">
        <v>37.799999999999997</v>
      </c>
      <c r="Z1334" s="1186">
        <v>3.1</v>
      </c>
      <c r="AA1334" s="1186"/>
      <c r="AB1334" s="1186"/>
      <c r="AC1334" s="1186"/>
      <c r="AD1334" s="1187"/>
    </row>
    <row r="1335" spans="1:30" x14ac:dyDescent="0.2">
      <c r="A1335">
        <f t="shared" si="54"/>
        <v>33</v>
      </c>
      <c r="B1335">
        <v>1326</v>
      </c>
      <c r="C1335" s="1078">
        <v>3</v>
      </c>
      <c r="D1335" s="1077" t="s">
        <v>5532</v>
      </c>
      <c r="E1335" s="1077" t="s">
        <v>4484</v>
      </c>
      <c r="F1335" s="1185">
        <v>1</v>
      </c>
      <c r="G1335" s="1186"/>
      <c r="H1335" s="1186"/>
      <c r="I1335" s="1186"/>
      <c r="J1335" s="1186"/>
      <c r="K1335" s="1186"/>
      <c r="L1335" s="1186"/>
      <c r="M1335" s="1186"/>
      <c r="N1335" s="1186"/>
      <c r="O1335" s="1186"/>
      <c r="P1335" s="1186"/>
      <c r="Q1335" s="1186"/>
      <c r="R1335" s="1186"/>
      <c r="S1335" s="1186"/>
      <c r="T1335" s="1186"/>
      <c r="U1335" s="1186"/>
      <c r="V1335" s="1186"/>
      <c r="W1335" s="1186">
        <v>59.22</v>
      </c>
      <c r="X1335" s="1186">
        <v>4.32</v>
      </c>
      <c r="Y1335" s="1186">
        <v>54.1</v>
      </c>
      <c r="Z1335" s="1186">
        <v>3</v>
      </c>
      <c r="AA1335" s="1186"/>
      <c r="AB1335" s="1186"/>
      <c r="AC1335" s="1186"/>
      <c r="AD1335" s="1187"/>
    </row>
    <row r="1336" spans="1:30" x14ac:dyDescent="0.2">
      <c r="A1336">
        <f t="shared" si="54"/>
        <v>33</v>
      </c>
      <c r="B1336">
        <v>1327</v>
      </c>
      <c r="C1336" s="1078">
        <v>3</v>
      </c>
      <c r="D1336" s="1077" t="s">
        <v>5532</v>
      </c>
      <c r="E1336" s="1077" t="s">
        <v>5057</v>
      </c>
      <c r="F1336" s="1185">
        <v>1</v>
      </c>
      <c r="G1336" s="1186"/>
      <c r="H1336" s="1186"/>
      <c r="I1336" s="1186"/>
      <c r="J1336" s="1186"/>
      <c r="K1336" s="1186"/>
      <c r="L1336" s="1186"/>
      <c r="M1336" s="1186"/>
      <c r="N1336" s="1186"/>
      <c r="O1336" s="1186"/>
      <c r="P1336" s="1186"/>
      <c r="Q1336" s="1186"/>
      <c r="R1336" s="1186"/>
      <c r="S1336" s="1186"/>
      <c r="T1336" s="1186"/>
      <c r="U1336" s="1186"/>
      <c r="V1336" s="1186"/>
      <c r="W1336" s="1186">
        <v>6.09</v>
      </c>
      <c r="X1336" s="1186">
        <v>4.12</v>
      </c>
      <c r="Y1336" s="1186">
        <v>5.47</v>
      </c>
      <c r="Z1336" s="1186">
        <v>2.9</v>
      </c>
      <c r="AA1336" s="1186"/>
      <c r="AB1336" s="1186"/>
      <c r="AC1336" s="1186"/>
      <c r="AD1336" s="1187"/>
    </row>
    <row r="1337" spans="1:30" x14ac:dyDescent="0.2">
      <c r="A1337">
        <f t="shared" si="54"/>
        <v>33</v>
      </c>
      <c r="B1337">
        <v>1328</v>
      </c>
      <c r="C1337" s="1078">
        <v>3</v>
      </c>
      <c r="D1337" s="1077" t="s">
        <v>5532</v>
      </c>
      <c r="E1337" s="1077" t="s">
        <v>4716</v>
      </c>
      <c r="F1337" s="1185">
        <v>1</v>
      </c>
      <c r="G1337" s="1186"/>
      <c r="H1337" s="1186"/>
      <c r="I1337" s="1186"/>
      <c r="J1337" s="1186"/>
      <c r="K1337" s="1186"/>
      <c r="L1337" s="1186"/>
      <c r="M1337" s="1186"/>
      <c r="N1337" s="1186"/>
      <c r="O1337" s="1186"/>
      <c r="P1337" s="1186"/>
      <c r="Q1337" s="1186"/>
      <c r="R1337" s="1186"/>
      <c r="S1337" s="1186"/>
      <c r="T1337" s="1186"/>
      <c r="U1337" s="1186"/>
      <c r="V1337" s="1186"/>
      <c r="W1337" s="1186">
        <v>13.47</v>
      </c>
      <c r="X1337" s="1186">
        <v>3.98</v>
      </c>
      <c r="Y1337" s="1186">
        <v>12.43</v>
      </c>
      <c r="Z1337" s="1186">
        <v>2.91</v>
      </c>
      <c r="AA1337" s="1186"/>
      <c r="AB1337" s="1186"/>
      <c r="AC1337" s="1186"/>
      <c r="AD1337" s="1187"/>
    </row>
    <row r="1338" spans="1:30" x14ac:dyDescent="0.2">
      <c r="A1338">
        <f t="shared" si="54"/>
        <v>33</v>
      </c>
      <c r="B1338">
        <v>1329</v>
      </c>
      <c r="C1338" s="1078">
        <v>3</v>
      </c>
      <c r="D1338" s="1077" t="s">
        <v>5532</v>
      </c>
      <c r="E1338" s="1077" t="s">
        <v>4717</v>
      </c>
      <c r="F1338" s="1185">
        <v>1</v>
      </c>
      <c r="G1338" s="1186"/>
      <c r="H1338" s="1186"/>
      <c r="I1338" s="1186"/>
      <c r="J1338" s="1186"/>
      <c r="K1338" s="1186"/>
      <c r="L1338" s="1186"/>
      <c r="M1338" s="1186"/>
      <c r="N1338" s="1186"/>
      <c r="O1338" s="1186"/>
      <c r="P1338" s="1186"/>
      <c r="Q1338" s="1186"/>
      <c r="R1338" s="1186"/>
      <c r="S1338" s="1186"/>
      <c r="T1338" s="1186"/>
      <c r="U1338" s="1186"/>
      <c r="V1338" s="1186"/>
      <c r="W1338" s="1186">
        <v>16.93</v>
      </c>
      <c r="X1338" s="1186">
        <v>3.82</v>
      </c>
      <c r="Y1338" s="1186">
        <v>15.4</v>
      </c>
      <c r="Z1338" s="1186">
        <v>2.8</v>
      </c>
      <c r="AA1338" s="1186"/>
      <c r="AB1338" s="1186"/>
      <c r="AC1338" s="1186"/>
      <c r="AD1338" s="1187"/>
    </row>
    <row r="1339" spans="1:30" x14ac:dyDescent="0.2">
      <c r="A1339">
        <f t="shared" si="54"/>
        <v>33</v>
      </c>
      <c r="B1339">
        <v>1330</v>
      </c>
      <c r="C1339" s="1078">
        <v>3</v>
      </c>
      <c r="D1339" s="1077" t="s">
        <v>5532</v>
      </c>
      <c r="E1339" s="1077" t="s">
        <v>5058</v>
      </c>
      <c r="F1339" s="1185">
        <v>1</v>
      </c>
      <c r="G1339" s="1186"/>
      <c r="H1339" s="1186"/>
      <c r="I1339" s="1186"/>
      <c r="J1339" s="1186"/>
      <c r="K1339" s="1186"/>
      <c r="L1339" s="1186"/>
      <c r="M1339" s="1186"/>
      <c r="N1339" s="1186"/>
      <c r="O1339" s="1186"/>
      <c r="P1339" s="1186"/>
      <c r="Q1339" s="1186"/>
      <c r="R1339" s="1186"/>
      <c r="S1339" s="1186"/>
      <c r="T1339" s="1186"/>
      <c r="U1339" s="1186"/>
      <c r="V1339" s="1186"/>
      <c r="W1339" s="1186">
        <v>25.8</v>
      </c>
      <c r="X1339" s="1186">
        <v>4</v>
      </c>
      <c r="Y1339" s="1186">
        <v>23.9</v>
      </c>
      <c r="Z1339" s="1186">
        <v>2.8</v>
      </c>
      <c r="AA1339" s="1186"/>
      <c r="AB1339" s="1186"/>
      <c r="AC1339" s="1186"/>
      <c r="AD1339" s="1187"/>
    </row>
    <row r="1340" spans="1:30" x14ac:dyDescent="0.2">
      <c r="A1340">
        <f t="shared" si="54"/>
        <v>33</v>
      </c>
      <c r="B1340">
        <v>1331</v>
      </c>
      <c r="C1340" s="1078">
        <v>3</v>
      </c>
      <c r="D1340" s="1077" t="s">
        <v>5532</v>
      </c>
      <c r="E1340" s="1077" t="s">
        <v>5533</v>
      </c>
      <c r="F1340" s="1185">
        <v>1</v>
      </c>
      <c r="G1340" s="1186"/>
      <c r="H1340" s="1186"/>
      <c r="I1340" s="1186"/>
      <c r="J1340" s="1186"/>
      <c r="K1340" s="1186"/>
      <c r="L1340" s="1186"/>
      <c r="M1340" s="1186"/>
      <c r="N1340" s="1186"/>
      <c r="O1340" s="1186"/>
      <c r="P1340" s="1186"/>
      <c r="Q1340" s="1186"/>
      <c r="R1340" s="1186"/>
      <c r="S1340" s="1186"/>
      <c r="T1340" s="1186"/>
      <c r="U1340" s="1186"/>
      <c r="V1340" s="1186"/>
      <c r="W1340" s="1186">
        <v>8.39</v>
      </c>
      <c r="X1340" s="1186">
        <v>4.16</v>
      </c>
      <c r="Y1340" s="1186">
        <v>7.72</v>
      </c>
      <c r="Z1340" s="1186">
        <v>2.97</v>
      </c>
      <c r="AA1340" s="1186"/>
      <c r="AB1340" s="1186"/>
      <c r="AC1340" s="1186"/>
      <c r="AD1340" s="1187"/>
    </row>
    <row r="1341" spans="1:30" x14ac:dyDescent="0.2">
      <c r="A1341">
        <f t="shared" si="54"/>
        <v>33</v>
      </c>
      <c r="B1341">
        <v>1332</v>
      </c>
      <c r="C1341" s="1078">
        <v>3</v>
      </c>
      <c r="D1341" s="1077" t="s">
        <v>5532</v>
      </c>
      <c r="E1341" s="1077" t="s">
        <v>5534</v>
      </c>
      <c r="F1341" s="1185">
        <v>1</v>
      </c>
      <c r="G1341" s="1186"/>
      <c r="H1341" s="1186"/>
      <c r="I1341" s="1186"/>
      <c r="J1341" s="1186"/>
      <c r="K1341" s="1186"/>
      <c r="L1341" s="1186"/>
      <c r="M1341" s="1186"/>
      <c r="N1341" s="1186"/>
      <c r="O1341" s="1186"/>
      <c r="P1341" s="1186"/>
      <c r="Q1341" s="1186"/>
      <c r="R1341" s="1186"/>
      <c r="S1341" s="1186"/>
      <c r="T1341" s="1186"/>
      <c r="U1341" s="1186"/>
      <c r="V1341" s="1186"/>
      <c r="W1341" s="1186">
        <v>13.35</v>
      </c>
      <c r="X1341" s="1186">
        <v>4.4000000000000004</v>
      </c>
      <c r="Y1341" s="1186">
        <v>12.46</v>
      </c>
      <c r="Z1341" s="1186">
        <v>2.96</v>
      </c>
      <c r="AA1341" s="1186"/>
      <c r="AB1341" s="1186"/>
      <c r="AC1341" s="1186"/>
      <c r="AD1341" s="1187"/>
    </row>
    <row r="1342" spans="1:30" x14ac:dyDescent="0.2">
      <c r="A1342">
        <f t="shared" si="54"/>
        <v>33</v>
      </c>
      <c r="B1342">
        <v>1333</v>
      </c>
      <c r="C1342" s="1078">
        <v>3</v>
      </c>
      <c r="D1342" s="1077" t="s">
        <v>5532</v>
      </c>
      <c r="E1342" s="1077" t="s">
        <v>5535</v>
      </c>
      <c r="F1342" s="1185">
        <v>1</v>
      </c>
      <c r="G1342" s="1186"/>
      <c r="H1342" s="1186"/>
      <c r="I1342" s="1186"/>
      <c r="J1342" s="1186"/>
      <c r="K1342" s="1186"/>
      <c r="L1342" s="1186"/>
      <c r="M1342" s="1186"/>
      <c r="N1342" s="1186"/>
      <c r="O1342" s="1186"/>
      <c r="P1342" s="1186"/>
      <c r="Q1342" s="1186"/>
      <c r="R1342" s="1186"/>
      <c r="S1342" s="1186"/>
      <c r="T1342" s="1186"/>
      <c r="U1342" s="1186"/>
      <c r="V1342" s="1186"/>
      <c r="W1342" s="1186">
        <v>18.73</v>
      </c>
      <c r="X1342" s="1186">
        <v>4.43</v>
      </c>
      <c r="Y1342" s="1186">
        <v>17.579999999999998</v>
      </c>
      <c r="Z1342" s="1186">
        <v>3.03</v>
      </c>
      <c r="AA1342" s="1186"/>
      <c r="AB1342" s="1186"/>
      <c r="AC1342" s="1186"/>
      <c r="AD1342" s="1187"/>
    </row>
    <row r="1343" spans="1:30" x14ac:dyDescent="0.2">
      <c r="A1343">
        <f t="shared" si="54"/>
        <v>33</v>
      </c>
      <c r="B1343">
        <v>1334</v>
      </c>
      <c r="C1343" s="1078">
        <v>3</v>
      </c>
      <c r="D1343" s="1077" t="s">
        <v>5532</v>
      </c>
      <c r="E1343" s="1077" t="s">
        <v>5059</v>
      </c>
      <c r="F1343" s="1185">
        <v>1</v>
      </c>
      <c r="G1343" s="1186"/>
      <c r="H1343" s="1186"/>
      <c r="I1343" s="1186"/>
      <c r="J1343" s="1186"/>
      <c r="K1343" s="1186"/>
      <c r="L1343" s="1186"/>
      <c r="M1343" s="1186"/>
      <c r="N1343" s="1186"/>
      <c r="O1343" s="1186"/>
      <c r="P1343" s="1186"/>
      <c r="Q1343" s="1186"/>
      <c r="R1343" s="1186"/>
      <c r="S1343" s="1186"/>
      <c r="T1343" s="1186"/>
      <c r="U1343" s="1186"/>
      <c r="V1343" s="1186"/>
      <c r="W1343" s="1186">
        <v>6.09</v>
      </c>
      <c r="X1343" s="1186">
        <v>4.12</v>
      </c>
      <c r="Y1343" s="1186">
        <v>5.47</v>
      </c>
      <c r="Z1343" s="1186">
        <v>2.9</v>
      </c>
      <c r="AA1343" s="1186"/>
      <c r="AB1343" s="1186"/>
      <c r="AC1343" s="1186"/>
      <c r="AD1343" s="1187"/>
    </row>
    <row r="1344" spans="1:30" x14ac:dyDescent="0.2">
      <c r="A1344">
        <f t="shared" si="54"/>
        <v>33</v>
      </c>
      <c r="B1344">
        <v>1335</v>
      </c>
      <c r="C1344" s="1078">
        <v>3</v>
      </c>
      <c r="D1344" s="1077" t="s">
        <v>5532</v>
      </c>
      <c r="E1344" s="1077" t="s">
        <v>4718</v>
      </c>
      <c r="F1344" s="1185">
        <v>1</v>
      </c>
      <c r="G1344" s="1186"/>
      <c r="H1344" s="1186"/>
      <c r="I1344" s="1186"/>
      <c r="J1344" s="1186"/>
      <c r="K1344" s="1186"/>
      <c r="L1344" s="1186"/>
      <c r="M1344" s="1186"/>
      <c r="N1344" s="1186"/>
      <c r="O1344" s="1186"/>
      <c r="P1344" s="1186"/>
      <c r="Q1344" s="1186"/>
      <c r="R1344" s="1186"/>
      <c r="S1344" s="1186"/>
      <c r="T1344" s="1186"/>
      <c r="U1344" s="1186"/>
      <c r="V1344" s="1186"/>
      <c r="W1344" s="1186">
        <v>13.47</v>
      </c>
      <c r="X1344" s="1186">
        <v>3.98</v>
      </c>
      <c r="Y1344" s="1186">
        <v>12.43</v>
      </c>
      <c r="Z1344" s="1186">
        <v>2.91</v>
      </c>
      <c r="AA1344" s="1186"/>
      <c r="AB1344" s="1186"/>
      <c r="AC1344" s="1186"/>
      <c r="AD1344" s="1187"/>
    </row>
    <row r="1345" spans="1:30" x14ac:dyDescent="0.2">
      <c r="A1345">
        <f t="shared" si="54"/>
        <v>33</v>
      </c>
      <c r="B1345">
        <v>1336</v>
      </c>
      <c r="C1345" s="1078">
        <v>3</v>
      </c>
      <c r="D1345" s="1077" t="s">
        <v>5532</v>
      </c>
      <c r="E1345" s="1077" t="s">
        <v>4719</v>
      </c>
      <c r="F1345" s="1185">
        <v>1</v>
      </c>
      <c r="G1345" s="1186"/>
      <c r="H1345" s="1186"/>
      <c r="I1345" s="1186"/>
      <c r="J1345" s="1186"/>
      <c r="K1345" s="1186"/>
      <c r="L1345" s="1186"/>
      <c r="M1345" s="1186"/>
      <c r="N1345" s="1186"/>
      <c r="O1345" s="1186"/>
      <c r="P1345" s="1186"/>
      <c r="Q1345" s="1186"/>
      <c r="R1345" s="1186"/>
      <c r="S1345" s="1186"/>
      <c r="T1345" s="1186"/>
      <c r="U1345" s="1186"/>
      <c r="V1345" s="1186"/>
      <c r="W1345" s="1186">
        <v>16.93</v>
      </c>
      <c r="X1345" s="1186">
        <v>3.82</v>
      </c>
      <c r="Y1345" s="1186">
        <v>15.4</v>
      </c>
      <c r="Z1345" s="1186">
        <v>2.8</v>
      </c>
      <c r="AA1345" s="1186"/>
      <c r="AB1345" s="1186"/>
      <c r="AC1345" s="1186"/>
      <c r="AD1345" s="1187"/>
    </row>
    <row r="1346" spans="1:30" x14ac:dyDescent="0.2">
      <c r="A1346">
        <f t="shared" si="54"/>
        <v>33</v>
      </c>
      <c r="B1346">
        <v>1337</v>
      </c>
      <c r="C1346" s="1078">
        <v>3</v>
      </c>
      <c r="D1346" s="1077" t="s">
        <v>5532</v>
      </c>
      <c r="E1346" s="1077" t="s">
        <v>5536</v>
      </c>
      <c r="F1346" s="1185">
        <v>1</v>
      </c>
      <c r="G1346" s="1186"/>
      <c r="H1346" s="1186"/>
      <c r="I1346" s="1186"/>
      <c r="J1346" s="1186"/>
      <c r="K1346" s="1186"/>
      <c r="L1346" s="1186"/>
      <c r="M1346" s="1186"/>
      <c r="N1346" s="1186"/>
      <c r="O1346" s="1186"/>
      <c r="P1346" s="1186"/>
      <c r="Q1346" s="1186"/>
      <c r="R1346" s="1186"/>
      <c r="S1346" s="1186"/>
      <c r="T1346" s="1186"/>
      <c r="U1346" s="1186"/>
      <c r="V1346" s="1186"/>
      <c r="W1346" s="1186">
        <v>8.39</v>
      </c>
      <c r="X1346" s="1186">
        <v>4.16</v>
      </c>
      <c r="Y1346" s="1186">
        <v>7.72</v>
      </c>
      <c r="Z1346" s="1186">
        <v>2.97</v>
      </c>
      <c r="AA1346" s="1186"/>
      <c r="AB1346" s="1186"/>
      <c r="AC1346" s="1186"/>
      <c r="AD1346" s="1187"/>
    </row>
    <row r="1347" spans="1:30" x14ac:dyDescent="0.2">
      <c r="A1347">
        <f t="shared" si="54"/>
        <v>33</v>
      </c>
      <c r="B1347">
        <v>1338</v>
      </c>
      <c r="C1347" s="1078">
        <v>3</v>
      </c>
      <c r="D1347" s="1077" t="s">
        <v>5532</v>
      </c>
      <c r="E1347" s="1077" t="s">
        <v>5537</v>
      </c>
      <c r="F1347" s="1185">
        <v>1</v>
      </c>
      <c r="G1347" s="1186"/>
      <c r="H1347" s="1186"/>
      <c r="I1347" s="1186"/>
      <c r="J1347" s="1186"/>
      <c r="K1347" s="1186"/>
      <c r="L1347" s="1186"/>
      <c r="M1347" s="1186"/>
      <c r="N1347" s="1186"/>
      <c r="O1347" s="1186"/>
      <c r="P1347" s="1186"/>
      <c r="Q1347" s="1186"/>
      <c r="R1347" s="1186"/>
      <c r="S1347" s="1186"/>
      <c r="T1347" s="1186"/>
      <c r="U1347" s="1186"/>
      <c r="V1347" s="1186"/>
      <c r="W1347" s="1186">
        <v>13.35</v>
      </c>
      <c r="X1347" s="1186">
        <v>4.4000000000000004</v>
      </c>
      <c r="Y1347" s="1186">
        <v>12.46</v>
      </c>
      <c r="Z1347" s="1186">
        <v>2.96</v>
      </c>
      <c r="AA1347" s="1186"/>
      <c r="AB1347" s="1186"/>
      <c r="AC1347" s="1186"/>
      <c r="AD1347" s="1187"/>
    </row>
    <row r="1348" spans="1:30" x14ac:dyDescent="0.2">
      <c r="A1348">
        <f t="shared" si="54"/>
        <v>33</v>
      </c>
      <c r="B1348">
        <v>1339</v>
      </c>
      <c r="C1348" s="1078">
        <v>3</v>
      </c>
      <c r="D1348" s="1077" t="s">
        <v>5532</v>
      </c>
      <c r="E1348" s="1077" t="s">
        <v>5538</v>
      </c>
      <c r="F1348" s="1185">
        <v>1</v>
      </c>
      <c r="G1348" s="1186"/>
      <c r="H1348" s="1186"/>
      <c r="I1348" s="1186"/>
      <c r="J1348" s="1186"/>
      <c r="K1348" s="1186"/>
      <c r="L1348" s="1186"/>
      <c r="M1348" s="1186"/>
      <c r="N1348" s="1186"/>
      <c r="O1348" s="1186"/>
      <c r="P1348" s="1186"/>
      <c r="Q1348" s="1186"/>
      <c r="R1348" s="1186"/>
      <c r="S1348" s="1186"/>
      <c r="T1348" s="1186"/>
      <c r="U1348" s="1186"/>
      <c r="V1348" s="1186"/>
      <c r="W1348" s="1186">
        <v>18.73</v>
      </c>
      <c r="X1348" s="1186">
        <v>4.43</v>
      </c>
      <c r="Y1348" s="1186">
        <v>17.579999999999998</v>
      </c>
      <c r="Z1348" s="1186">
        <v>3.03</v>
      </c>
      <c r="AA1348" s="1186"/>
      <c r="AB1348" s="1186"/>
      <c r="AC1348" s="1186"/>
      <c r="AD1348" s="1187"/>
    </row>
    <row r="1349" spans="1:30" x14ac:dyDescent="0.2">
      <c r="A1349">
        <f t="shared" si="54"/>
        <v>33</v>
      </c>
      <c r="B1349">
        <v>1340</v>
      </c>
      <c r="C1349" s="1078">
        <v>3</v>
      </c>
      <c r="D1349" s="1077" t="s">
        <v>5532</v>
      </c>
      <c r="E1349" s="1077" t="s">
        <v>4987</v>
      </c>
      <c r="F1349" s="1185">
        <v>2</v>
      </c>
      <c r="G1349" s="1186"/>
      <c r="H1349" s="1186"/>
      <c r="I1349" s="1186"/>
      <c r="J1349" s="1186"/>
      <c r="K1349" s="1186"/>
      <c r="L1349" s="1186"/>
      <c r="M1349" s="1186"/>
      <c r="N1349" s="1186"/>
      <c r="O1349" s="1186"/>
      <c r="P1349" s="1186"/>
      <c r="Q1349" s="1186"/>
      <c r="R1349" s="1186"/>
      <c r="S1349" s="1186"/>
      <c r="T1349" s="1186"/>
      <c r="U1349" s="1186"/>
      <c r="V1349" s="1186"/>
      <c r="W1349" s="1186">
        <v>28.3</v>
      </c>
      <c r="X1349" s="1186">
        <v>4.07</v>
      </c>
      <c r="Y1349" s="1186">
        <v>27.4</v>
      </c>
      <c r="Z1349" s="1186">
        <v>2.9</v>
      </c>
      <c r="AA1349" s="1186"/>
      <c r="AB1349" s="1186"/>
      <c r="AC1349" s="1186"/>
      <c r="AD1349" s="1187"/>
    </row>
    <row r="1350" spans="1:30" x14ac:dyDescent="0.2">
      <c r="A1350">
        <f t="shared" si="54"/>
        <v>33</v>
      </c>
      <c r="B1350">
        <v>1341</v>
      </c>
      <c r="C1350" s="1078">
        <v>3</v>
      </c>
      <c r="D1350" s="1077" t="s">
        <v>5532</v>
      </c>
      <c r="E1350" s="1077" t="s">
        <v>5060</v>
      </c>
      <c r="F1350" s="1185">
        <v>2</v>
      </c>
      <c r="G1350" s="1186"/>
      <c r="H1350" s="1186"/>
      <c r="I1350" s="1186"/>
      <c r="J1350" s="1186"/>
      <c r="K1350" s="1186"/>
      <c r="L1350" s="1186"/>
      <c r="M1350" s="1186"/>
      <c r="N1350" s="1186"/>
      <c r="O1350" s="1186"/>
      <c r="P1350" s="1186"/>
      <c r="Q1350" s="1186"/>
      <c r="R1350" s="1186"/>
      <c r="S1350" s="1186"/>
      <c r="T1350" s="1186"/>
      <c r="U1350" s="1186"/>
      <c r="V1350" s="1186"/>
      <c r="W1350" s="1186">
        <v>42.9</v>
      </c>
      <c r="X1350" s="1186">
        <v>4.0199999999999996</v>
      </c>
      <c r="Y1350" s="1186">
        <v>42.7</v>
      </c>
      <c r="Z1350" s="1186">
        <v>2.9</v>
      </c>
      <c r="AA1350" s="1186"/>
      <c r="AB1350" s="1186"/>
      <c r="AC1350" s="1186"/>
      <c r="AD1350" s="1187"/>
    </row>
    <row r="1351" spans="1:30" x14ac:dyDescent="0.2">
      <c r="A1351">
        <f t="shared" si="54"/>
        <v>33</v>
      </c>
      <c r="B1351">
        <v>1342</v>
      </c>
      <c r="C1351" s="1078">
        <v>4</v>
      </c>
      <c r="D1351" s="1077" t="s">
        <v>5532</v>
      </c>
      <c r="E1351" s="1077" t="s">
        <v>4485</v>
      </c>
      <c r="F1351" s="1185">
        <v>4</v>
      </c>
      <c r="G1351" s="1186"/>
      <c r="H1351" s="1186"/>
      <c r="I1351" s="1186"/>
      <c r="J1351" s="1186"/>
      <c r="K1351" s="1186"/>
      <c r="L1351" s="1186"/>
      <c r="M1351" s="1186"/>
      <c r="N1351" s="1186"/>
      <c r="O1351" s="1186"/>
      <c r="P1351" s="1186"/>
      <c r="Q1351" s="1186"/>
      <c r="R1351" s="1186"/>
      <c r="S1351" s="1186"/>
      <c r="T1351" s="1186"/>
      <c r="U1351" s="1186"/>
      <c r="V1351" s="1186"/>
      <c r="W1351" s="1186">
        <v>1.5</v>
      </c>
      <c r="X1351" s="1186">
        <v>4.75</v>
      </c>
      <c r="Y1351" s="1186">
        <v>5.3</v>
      </c>
      <c r="Z1351" s="1186">
        <v>2.1</v>
      </c>
      <c r="AA1351" s="1186"/>
      <c r="AB1351" s="1186"/>
      <c r="AC1351" s="1186"/>
      <c r="AD1351" s="1187"/>
    </row>
    <row r="1352" spans="1:30" x14ac:dyDescent="0.2">
      <c r="A1352">
        <f t="shared" si="54"/>
        <v>34</v>
      </c>
      <c r="B1352">
        <v>1343</v>
      </c>
      <c r="C1352" s="1078">
        <v>2</v>
      </c>
      <c r="D1352" s="1077" t="s">
        <v>5502</v>
      </c>
      <c r="E1352" s="1077" t="s">
        <v>5503</v>
      </c>
      <c r="F1352" s="1185">
        <v>1</v>
      </c>
      <c r="G1352" s="1186"/>
      <c r="H1352" s="1186"/>
      <c r="I1352" s="1186">
        <v>10.6</v>
      </c>
      <c r="J1352" s="1186">
        <v>3.6</v>
      </c>
      <c r="K1352" s="1186">
        <v>13.2</v>
      </c>
      <c r="L1352" s="1186">
        <v>4.4000000000000004</v>
      </c>
      <c r="M1352" s="1186">
        <v>15.1</v>
      </c>
      <c r="N1352" s="1186">
        <v>5</v>
      </c>
      <c r="O1352" s="1186"/>
      <c r="P1352" s="1186"/>
      <c r="Q1352" s="1186">
        <v>9.8000000000000007</v>
      </c>
      <c r="R1352" s="1186">
        <v>2.4</v>
      </c>
      <c r="S1352" s="1186">
        <v>14.8</v>
      </c>
      <c r="T1352" s="1186">
        <v>4.3</v>
      </c>
      <c r="U1352" s="1186"/>
      <c r="V1352" s="1186"/>
      <c r="W1352" s="1186"/>
      <c r="X1352" s="1186"/>
      <c r="Y1352" s="1186"/>
      <c r="Z1352" s="1186"/>
      <c r="AA1352" s="1186"/>
      <c r="AB1352" s="1186"/>
      <c r="AC1352" s="1186"/>
      <c r="AD1352" s="1187"/>
    </row>
    <row r="1353" spans="1:30" x14ac:dyDescent="0.2">
      <c r="A1353">
        <f t="shared" si="54"/>
        <v>34</v>
      </c>
      <c r="B1353">
        <v>1344</v>
      </c>
      <c r="C1353" s="1078">
        <v>2</v>
      </c>
      <c r="D1353" s="1077" t="s">
        <v>5502</v>
      </c>
      <c r="E1353" s="1077" t="s">
        <v>5504</v>
      </c>
      <c r="F1353" s="1185">
        <v>1</v>
      </c>
      <c r="G1353" s="1186"/>
      <c r="H1353" s="1186"/>
      <c r="I1353" s="1186">
        <v>13.7</v>
      </c>
      <c r="J1353" s="1186">
        <v>3.5</v>
      </c>
      <c r="K1353" s="1186">
        <v>17.2</v>
      </c>
      <c r="L1353" s="1186">
        <v>4.2</v>
      </c>
      <c r="M1353" s="1186">
        <v>20.7</v>
      </c>
      <c r="N1353" s="1186">
        <v>4.5999999999999996</v>
      </c>
      <c r="O1353" s="1186"/>
      <c r="P1353" s="1186"/>
      <c r="Q1353" s="1186">
        <v>13.2</v>
      </c>
      <c r="R1353" s="1186">
        <v>2.5</v>
      </c>
      <c r="S1353" s="1186">
        <v>20.5</v>
      </c>
      <c r="T1353" s="1186">
        <v>4.0999999999999996</v>
      </c>
      <c r="U1353" s="1186"/>
      <c r="V1353" s="1186"/>
      <c r="W1353" s="1186"/>
      <c r="X1353" s="1186"/>
      <c r="Y1353" s="1186"/>
      <c r="Z1353" s="1186"/>
      <c r="AA1353" s="1186"/>
      <c r="AB1353" s="1186"/>
      <c r="AC1353" s="1186"/>
      <c r="AD1353" s="1187"/>
    </row>
    <row r="1354" spans="1:30" x14ac:dyDescent="0.2">
      <c r="A1354">
        <f t="shared" si="54"/>
        <v>34</v>
      </c>
      <c r="B1354">
        <v>1345</v>
      </c>
      <c r="C1354" s="1078">
        <v>2</v>
      </c>
      <c r="D1354" s="1077" t="s">
        <v>5502</v>
      </c>
      <c r="E1354" s="1077" t="s">
        <v>5505</v>
      </c>
      <c r="F1354" s="1185">
        <v>1</v>
      </c>
      <c r="G1354" s="1186"/>
      <c r="H1354" s="1186"/>
      <c r="I1354" s="1186">
        <v>18.899999999999999</v>
      </c>
      <c r="J1354" s="1186">
        <v>3.3</v>
      </c>
      <c r="K1354" s="1186">
        <v>21.1</v>
      </c>
      <c r="L1354" s="1186">
        <v>3.6</v>
      </c>
      <c r="M1354" s="1186">
        <v>26.5</v>
      </c>
      <c r="N1354" s="1186">
        <v>4.2</v>
      </c>
      <c r="O1354" s="1186"/>
      <c r="P1354" s="1186"/>
      <c r="Q1354" s="1186">
        <v>18.8</v>
      </c>
      <c r="R1354" s="1186">
        <v>2.6</v>
      </c>
      <c r="S1354" s="1186">
        <v>27</v>
      </c>
      <c r="T1354" s="1186">
        <v>3.9</v>
      </c>
      <c r="U1354" s="1186"/>
      <c r="V1354" s="1186"/>
      <c r="W1354" s="1186"/>
      <c r="X1354" s="1186"/>
      <c r="Y1354" s="1186"/>
      <c r="Z1354" s="1186"/>
      <c r="AA1354" s="1186"/>
      <c r="AB1354" s="1186"/>
      <c r="AC1354" s="1186"/>
      <c r="AD1354" s="1187"/>
    </row>
    <row r="1355" spans="1:30" x14ac:dyDescent="0.2">
      <c r="A1355">
        <f t="shared" si="54"/>
        <v>34</v>
      </c>
      <c r="B1355">
        <v>1346</v>
      </c>
      <c r="C1355" s="1078">
        <v>2</v>
      </c>
      <c r="D1355" s="1077" t="s">
        <v>5502</v>
      </c>
      <c r="E1355" s="1077" t="s">
        <v>5506</v>
      </c>
      <c r="F1355" s="1185">
        <v>1</v>
      </c>
      <c r="G1355" s="1186"/>
      <c r="H1355" s="1186"/>
      <c r="I1355" s="1186">
        <v>26</v>
      </c>
      <c r="J1355" s="1186">
        <v>3.3</v>
      </c>
      <c r="K1355" s="1186">
        <v>28</v>
      </c>
      <c r="L1355" s="1186">
        <v>3.5</v>
      </c>
      <c r="M1355" s="1186">
        <v>37</v>
      </c>
      <c r="N1355" s="1186">
        <v>4.2</v>
      </c>
      <c r="O1355" s="1186"/>
      <c r="P1355" s="1186"/>
      <c r="Q1355" s="1186">
        <v>26</v>
      </c>
      <c r="R1355" s="1186">
        <v>2.6</v>
      </c>
      <c r="S1355" s="1186">
        <v>38</v>
      </c>
      <c r="T1355" s="1186">
        <v>4</v>
      </c>
      <c r="U1355" s="1186"/>
      <c r="V1355" s="1186"/>
      <c r="W1355" s="1186"/>
      <c r="X1355" s="1186"/>
      <c r="Y1355" s="1186"/>
      <c r="Z1355" s="1186"/>
      <c r="AA1355" s="1186"/>
      <c r="AB1355" s="1186"/>
      <c r="AC1355" s="1186"/>
      <c r="AD1355" s="1187"/>
    </row>
    <row r="1356" spans="1:30" x14ac:dyDescent="0.2">
      <c r="A1356">
        <f t="shared" ref="A1356:A1419" si="55">A1355+(D1356&lt;&gt;D1355)*1</f>
        <v>34</v>
      </c>
      <c r="B1356">
        <v>1347</v>
      </c>
      <c r="C1356" s="1078">
        <v>2</v>
      </c>
      <c r="D1356" s="1077" t="s">
        <v>5502</v>
      </c>
      <c r="E1356" s="1077" t="s">
        <v>5507</v>
      </c>
      <c r="F1356" s="1185">
        <v>1</v>
      </c>
      <c r="G1356" s="1186"/>
      <c r="H1356" s="1186"/>
      <c r="I1356" s="1186">
        <v>47.9</v>
      </c>
      <c r="J1356" s="1186">
        <v>3.6</v>
      </c>
      <c r="K1356" s="1186">
        <v>50.17</v>
      </c>
      <c r="L1356" s="1186">
        <v>3.87</v>
      </c>
      <c r="M1356" s="1186">
        <v>68.099999999999994</v>
      </c>
      <c r="N1356" s="1186">
        <v>4.87</v>
      </c>
      <c r="O1356" s="1186"/>
      <c r="P1356" s="1186"/>
      <c r="Q1356" s="1186">
        <v>49.2</v>
      </c>
      <c r="R1356" s="1186">
        <v>2.7</v>
      </c>
      <c r="S1356" s="1186">
        <v>67.2</v>
      </c>
      <c r="T1356" s="1186">
        <v>4.4000000000000004</v>
      </c>
      <c r="U1356" s="1186"/>
      <c r="V1356" s="1186"/>
      <c r="W1356" s="1186"/>
      <c r="X1356" s="1186"/>
      <c r="Y1356" s="1186"/>
      <c r="Z1356" s="1186"/>
      <c r="AA1356" s="1186"/>
      <c r="AB1356" s="1186"/>
      <c r="AC1356" s="1186"/>
      <c r="AD1356" s="1187"/>
    </row>
    <row r="1357" spans="1:30" x14ac:dyDescent="0.2">
      <c r="A1357">
        <f t="shared" si="55"/>
        <v>34</v>
      </c>
      <c r="B1357">
        <v>1348</v>
      </c>
      <c r="C1357" s="1078">
        <v>2</v>
      </c>
      <c r="D1357" s="1077" t="s">
        <v>5502</v>
      </c>
      <c r="E1357" s="1077" t="s">
        <v>5508</v>
      </c>
      <c r="F1357" s="1185">
        <v>4</v>
      </c>
      <c r="G1357" s="1186"/>
      <c r="H1357" s="1186"/>
      <c r="I1357" s="1186"/>
      <c r="J1357" s="1186"/>
      <c r="K1357" s="1186">
        <v>4.1900000000000004</v>
      </c>
      <c r="L1357" s="1186">
        <v>3.44</v>
      </c>
      <c r="M1357" s="1186">
        <v>5.36</v>
      </c>
      <c r="N1357" s="1186">
        <v>5.05</v>
      </c>
      <c r="O1357" s="1186"/>
      <c r="P1357" s="1186"/>
      <c r="Q1357" s="1186"/>
      <c r="R1357" s="1186"/>
      <c r="S1357" s="1186">
        <v>5.56</v>
      </c>
      <c r="T1357" s="1186">
        <v>2.99</v>
      </c>
      <c r="U1357" s="1186"/>
      <c r="V1357" s="1186"/>
      <c r="W1357" s="1186"/>
      <c r="X1357" s="1186"/>
      <c r="Y1357" s="1186"/>
      <c r="Z1357" s="1186"/>
      <c r="AA1357" s="1186"/>
      <c r="AB1357" s="1186"/>
      <c r="AC1357" s="1186"/>
      <c r="AD1357" s="1187"/>
    </row>
    <row r="1358" spans="1:30" x14ac:dyDescent="0.2">
      <c r="A1358">
        <f t="shared" si="55"/>
        <v>34</v>
      </c>
      <c r="B1358">
        <v>1349</v>
      </c>
      <c r="C1358" s="1078">
        <v>2</v>
      </c>
      <c r="D1358" s="1077" t="s">
        <v>5502</v>
      </c>
      <c r="E1358" s="1077" t="s">
        <v>5509</v>
      </c>
      <c r="F1358" s="1185">
        <v>4</v>
      </c>
      <c r="G1358" s="1186"/>
      <c r="H1358" s="1186"/>
      <c r="I1358" s="1186">
        <v>2.36</v>
      </c>
      <c r="J1358" s="1186">
        <v>3.62</v>
      </c>
      <c r="K1358" s="1186">
        <v>2.4900000000000002</v>
      </c>
      <c r="L1358" s="1186">
        <v>4.22</v>
      </c>
      <c r="M1358" s="1186">
        <v>2.5499999999999998</v>
      </c>
      <c r="N1358" s="1186">
        <v>5.04</v>
      </c>
      <c r="O1358" s="1186"/>
      <c r="P1358" s="1186"/>
      <c r="Q1358" s="1186">
        <v>2.86</v>
      </c>
      <c r="R1358" s="1186">
        <v>2.4700000000000002</v>
      </c>
      <c r="S1358" s="1186">
        <v>3.98</v>
      </c>
      <c r="T1358" s="1186">
        <v>3.1</v>
      </c>
      <c r="U1358" s="1186"/>
      <c r="V1358" s="1186"/>
      <c r="W1358" s="1186"/>
      <c r="X1358" s="1186"/>
      <c r="Y1358" s="1186"/>
      <c r="Z1358" s="1186"/>
      <c r="AA1358" s="1186"/>
      <c r="AB1358" s="1186"/>
      <c r="AC1358" s="1186"/>
      <c r="AD1358" s="1187"/>
    </row>
    <row r="1359" spans="1:30" x14ac:dyDescent="0.2">
      <c r="A1359">
        <f t="shared" si="55"/>
        <v>34</v>
      </c>
      <c r="B1359">
        <v>1350</v>
      </c>
      <c r="C1359" s="1078">
        <v>2</v>
      </c>
      <c r="D1359" s="1077" t="s">
        <v>5502</v>
      </c>
      <c r="E1359" s="1077" t="s">
        <v>5510</v>
      </c>
      <c r="F1359" s="1185">
        <v>4</v>
      </c>
      <c r="G1359" s="1186"/>
      <c r="H1359" s="1186"/>
      <c r="I1359" s="1186">
        <v>4.62</v>
      </c>
      <c r="J1359" s="1186">
        <v>3.6</v>
      </c>
      <c r="K1359" s="1186">
        <v>4.83</v>
      </c>
      <c r="L1359" s="1186">
        <v>3.87</v>
      </c>
      <c r="M1359" s="1186">
        <v>4.82</v>
      </c>
      <c r="N1359" s="1186">
        <v>4.82</v>
      </c>
      <c r="O1359" s="1186"/>
      <c r="P1359" s="1186"/>
      <c r="Q1359" s="1186">
        <v>5.71</v>
      </c>
      <c r="R1359" s="1186">
        <v>2.36</v>
      </c>
      <c r="S1359" s="1186">
        <v>5.91</v>
      </c>
      <c r="T1359" s="1186">
        <v>3.09</v>
      </c>
      <c r="U1359" s="1186"/>
      <c r="V1359" s="1186"/>
      <c r="W1359" s="1186"/>
      <c r="X1359" s="1186"/>
      <c r="Y1359" s="1186"/>
      <c r="Z1359" s="1186"/>
      <c r="AA1359" s="1186"/>
      <c r="AB1359" s="1186"/>
      <c r="AC1359" s="1186"/>
      <c r="AD1359" s="1187"/>
    </row>
    <row r="1360" spans="1:30" x14ac:dyDescent="0.2">
      <c r="A1360">
        <f t="shared" si="55"/>
        <v>34</v>
      </c>
      <c r="B1360">
        <v>1351</v>
      </c>
      <c r="C1360" s="1078">
        <v>2</v>
      </c>
      <c r="D1360" s="1077" t="s">
        <v>5502</v>
      </c>
      <c r="E1360" s="1077" t="s">
        <v>5511</v>
      </c>
      <c r="F1360" s="1185">
        <v>4</v>
      </c>
      <c r="G1360" s="1186"/>
      <c r="H1360" s="1186"/>
      <c r="I1360" s="1186">
        <v>14.28</v>
      </c>
      <c r="J1360" s="1186">
        <v>3.28</v>
      </c>
      <c r="K1360" s="1186">
        <v>6.73</v>
      </c>
      <c r="L1360" s="1186">
        <v>4.32</v>
      </c>
      <c r="M1360" s="1186">
        <v>9.25</v>
      </c>
      <c r="N1360" s="1186">
        <v>5.14</v>
      </c>
      <c r="O1360" s="1186"/>
      <c r="P1360" s="1186"/>
      <c r="Q1360" s="1186">
        <v>11.9</v>
      </c>
      <c r="R1360" s="1186">
        <v>2.13</v>
      </c>
      <c r="S1360" s="1186">
        <v>10.38</v>
      </c>
      <c r="T1360" s="1186">
        <v>3.1</v>
      </c>
      <c r="U1360" s="1186"/>
      <c r="V1360" s="1186"/>
      <c r="W1360" s="1186"/>
      <c r="X1360" s="1186"/>
      <c r="Y1360" s="1186"/>
      <c r="Z1360" s="1186"/>
      <c r="AA1360" s="1186"/>
      <c r="AB1360" s="1186"/>
      <c r="AC1360" s="1186"/>
      <c r="AD1360" s="1187"/>
    </row>
    <row r="1361" spans="1:30" x14ac:dyDescent="0.2">
      <c r="A1361">
        <f t="shared" si="55"/>
        <v>34</v>
      </c>
      <c r="B1361">
        <v>1352</v>
      </c>
      <c r="C1361" s="1078">
        <v>2</v>
      </c>
      <c r="D1361" s="1077" t="s">
        <v>5502</v>
      </c>
      <c r="E1361" s="1077" t="s">
        <v>5512</v>
      </c>
      <c r="F1361" s="1185">
        <v>4</v>
      </c>
      <c r="G1361" s="1186"/>
      <c r="H1361" s="1186"/>
      <c r="I1361" s="1186">
        <v>17.850000000000001</v>
      </c>
      <c r="J1361" s="1186">
        <v>3.84</v>
      </c>
      <c r="K1361" s="1186">
        <v>20.74</v>
      </c>
      <c r="L1361" s="1186">
        <v>4.01</v>
      </c>
      <c r="M1361" s="1186">
        <v>20.69</v>
      </c>
      <c r="N1361" s="1186">
        <v>5.24</v>
      </c>
      <c r="O1361" s="1186"/>
      <c r="P1361" s="1186"/>
      <c r="Q1361" s="1186">
        <v>14.97</v>
      </c>
      <c r="R1361" s="1186">
        <v>2.13</v>
      </c>
      <c r="S1361" s="1186">
        <v>19.670000000000002</v>
      </c>
      <c r="T1361" s="1186">
        <v>3.19</v>
      </c>
      <c r="U1361" s="1186"/>
      <c r="V1361" s="1186"/>
      <c r="W1361" s="1186"/>
      <c r="X1361" s="1186"/>
      <c r="Y1361" s="1186"/>
      <c r="Z1361" s="1186"/>
      <c r="AA1361" s="1186"/>
      <c r="AB1361" s="1186"/>
      <c r="AC1361" s="1186"/>
      <c r="AD1361" s="1187"/>
    </row>
    <row r="1362" spans="1:30" x14ac:dyDescent="0.2">
      <c r="A1362">
        <f t="shared" si="55"/>
        <v>34</v>
      </c>
      <c r="B1362">
        <v>1353</v>
      </c>
      <c r="C1362" s="1078">
        <v>3</v>
      </c>
      <c r="D1362" s="1077" t="s">
        <v>5502</v>
      </c>
      <c r="E1362" s="1077" t="s">
        <v>5513</v>
      </c>
      <c r="F1362" s="1185">
        <v>1</v>
      </c>
      <c r="G1362" s="1186"/>
      <c r="H1362" s="1186"/>
      <c r="I1362" s="1186"/>
      <c r="J1362" s="1186"/>
      <c r="K1362" s="1186"/>
      <c r="L1362" s="1186"/>
      <c r="M1362" s="1186"/>
      <c r="N1362" s="1186"/>
      <c r="O1362" s="1186"/>
      <c r="P1362" s="1186"/>
      <c r="Q1362" s="1186"/>
      <c r="R1362" s="1186"/>
      <c r="S1362" s="1186"/>
      <c r="T1362" s="1186"/>
      <c r="U1362" s="1186"/>
      <c r="V1362" s="1186"/>
      <c r="W1362" s="1186">
        <v>7.5</v>
      </c>
      <c r="X1362" s="1186">
        <v>4.84</v>
      </c>
      <c r="Y1362" s="1186">
        <v>6.9</v>
      </c>
      <c r="Z1362" s="1186">
        <v>2.94</v>
      </c>
      <c r="AA1362" s="1186"/>
      <c r="AB1362" s="1186"/>
      <c r="AC1362" s="1186"/>
      <c r="AD1362" s="1187"/>
    </row>
    <row r="1363" spans="1:30" x14ac:dyDescent="0.2">
      <c r="A1363">
        <f t="shared" si="55"/>
        <v>34</v>
      </c>
      <c r="B1363">
        <v>1354</v>
      </c>
      <c r="C1363" s="1078">
        <v>3</v>
      </c>
      <c r="D1363" s="1077" t="s">
        <v>5502</v>
      </c>
      <c r="E1363" s="1077" t="s">
        <v>5514</v>
      </c>
      <c r="F1363" s="1185">
        <v>1</v>
      </c>
      <c r="G1363" s="1186"/>
      <c r="H1363" s="1186"/>
      <c r="I1363" s="1186"/>
      <c r="J1363" s="1186"/>
      <c r="K1363" s="1186"/>
      <c r="L1363" s="1186"/>
      <c r="M1363" s="1186"/>
      <c r="N1363" s="1186"/>
      <c r="O1363" s="1186"/>
      <c r="P1363" s="1186"/>
      <c r="Q1363" s="1186"/>
      <c r="R1363" s="1186"/>
      <c r="S1363" s="1186"/>
      <c r="T1363" s="1186"/>
      <c r="U1363" s="1186"/>
      <c r="V1363" s="1186"/>
      <c r="W1363" s="1186">
        <v>10.3</v>
      </c>
      <c r="X1363" s="1186">
        <v>5.03</v>
      </c>
      <c r="Y1363" s="1186">
        <v>9.1</v>
      </c>
      <c r="Z1363" s="1186">
        <v>2.83</v>
      </c>
      <c r="AA1363" s="1186"/>
      <c r="AB1363" s="1186"/>
      <c r="AC1363" s="1186"/>
      <c r="AD1363" s="1187"/>
    </row>
    <row r="1364" spans="1:30" x14ac:dyDescent="0.2">
      <c r="A1364">
        <f t="shared" si="55"/>
        <v>34</v>
      </c>
      <c r="B1364">
        <v>1355</v>
      </c>
      <c r="C1364" s="1078">
        <v>3</v>
      </c>
      <c r="D1364" s="1077" t="s">
        <v>5502</v>
      </c>
      <c r="E1364" s="1077" t="s">
        <v>5515</v>
      </c>
      <c r="F1364" s="1185">
        <v>1</v>
      </c>
      <c r="G1364" s="1186"/>
      <c r="H1364" s="1186"/>
      <c r="I1364" s="1186"/>
      <c r="J1364" s="1186"/>
      <c r="K1364" s="1186"/>
      <c r="L1364" s="1186"/>
      <c r="M1364" s="1186"/>
      <c r="N1364" s="1186"/>
      <c r="O1364" s="1186"/>
      <c r="P1364" s="1186"/>
      <c r="Q1364" s="1186"/>
      <c r="R1364" s="1186"/>
      <c r="S1364" s="1186"/>
      <c r="T1364" s="1186"/>
      <c r="U1364" s="1186"/>
      <c r="V1364" s="1186"/>
      <c r="W1364" s="1186">
        <v>13.2</v>
      </c>
      <c r="X1364" s="1186">
        <v>4.82</v>
      </c>
      <c r="Y1364" s="1186">
        <v>12</v>
      </c>
      <c r="Z1364" s="1186">
        <v>3.05</v>
      </c>
      <c r="AA1364" s="1186"/>
      <c r="AB1364" s="1186"/>
      <c r="AC1364" s="1186"/>
      <c r="AD1364" s="1187"/>
    </row>
    <row r="1365" spans="1:30" x14ac:dyDescent="0.2">
      <c r="A1365">
        <f t="shared" si="55"/>
        <v>34</v>
      </c>
      <c r="B1365">
        <v>1356</v>
      </c>
      <c r="C1365" s="1078">
        <v>3</v>
      </c>
      <c r="D1365" s="1077" t="s">
        <v>5502</v>
      </c>
      <c r="E1365" s="1077" t="s">
        <v>5516</v>
      </c>
      <c r="F1365" s="1185">
        <v>1</v>
      </c>
      <c r="G1365" s="1186"/>
      <c r="H1365" s="1186"/>
      <c r="I1365" s="1186"/>
      <c r="J1365" s="1186"/>
      <c r="K1365" s="1186"/>
      <c r="L1365" s="1186"/>
      <c r="M1365" s="1186"/>
      <c r="N1365" s="1186"/>
      <c r="O1365" s="1186"/>
      <c r="P1365" s="1186"/>
      <c r="Q1365" s="1186"/>
      <c r="R1365" s="1186"/>
      <c r="S1365" s="1186"/>
      <c r="T1365" s="1186"/>
      <c r="U1365" s="1186"/>
      <c r="V1365" s="1186"/>
      <c r="W1365" s="1186">
        <v>17</v>
      </c>
      <c r="X1365" s="1186">
        <v>4.53</v>
      </c>
      <c r="Y1365" s="1186">
        <v>15.8</v>
      </c>
      <c r="Z1365" s="1186">
        <v>2.89</v>
      </c>
      <c r="AA1365" s="1186"/>
      <c r="AB1365" s="1186"/>
      <c r="AC1365" s="1186"/>
      <c r="AD1365" s="1187"/>
    </row>
    <row r="1366" spans="1:30" x14ac:dyDescent="0.2">
      <c r="A1366">
        <f t="shared" si="55"/>
        <v>34</v>
      </c>
      <c r="B1366">
        <v>1357</v>
      </c>
      <c r="C1366" s="1078">
        <v>3</v>
      </c>
      <c r="D1366" s="1077" t="s">
        <v>5502</v>
      </c>
      <c r="E1366" s="1077" t="s">
        <v>5517</v>
      </c>
      <c r="F1366" s="1185">
        <v>1</v>
      </c>
      <c r="G1366" s="1186"/>
      <c r="H1366" s="1186"/>
      <c r="I1366" s="1186"/>
      <c r="J1366" s="1186"/>
      <c r="K1366" s="1186"/>
      <c r="L1366" s="1186"/>
      <c r="M1366" s="1186"/>
      <c r="N1366" s="1186"/>
      <c r="O1366" s="1186"/>
      <c r="P1366" s="1186"/>
      <c r="Q1366" s="1186"/>
      <c r="R1366" s="1186"/>
      <c r="S1366" s="1186"/>
      <c r="T1366" s="1186"/>
      <c r="U1366" s="1186"/>
      <c r="V1366" s="1186"/>
      <c r="W1366" s="1186">
        <v>24.45</v>
      </c>
      <c r="X1366" s="1186">
        <v>4.4000000000000004</v>
      </c>
      <c r="Y1366" s="1186">
        <v>22.59</v>
      </c>
      <c r="Z1366" s="1186">
        <v>2.84</v>
      </c>
      <c r="AA1366" s="1186"/>
      <c r="AB1366" s="1186"/>
      <c r="AC1366" s="1186"/>
      <c r="AD1366" s="1187"/>
    </row>
    <row r="1367" spans="1:30" x14ac:dyDescent="0.2">
      <c r="A1367">
        <f t="shared" si="55"/>
        <v>34</v>
      </c>
      <c r="B1367">
        <v>1358</v>
      </c>
      <c r="C1367" s="1078">
        <v>3</v>
      </c>
      <c r="D1367" s="1077" t="s">
        <v>5502</v>
      </c>
      <c r="E1367" s="1077" t="s">
        <v>5518</v>
      </c>
      <c r="F1367" s="1185">
        <v>1</v>
      </c>
      <c r="G1367" s="1186"/>
      <c r="H1367" s="1186"/>
      <c r="I1367" s="1186"/>
      <c r="J1367" s="1186"/>
      <c r="K1367" s="1186"/>
      <c r="L1367" s="1186"/>
      <c r="M1367" s="1186"/>
      <c r="N1367" s="1186"/>
      <c r="O1367" s="1186"/>
      <c r="P1367" s="1186"/>
      <c r="Q1367" s="1186"/>
      <c r="R1367" s="1186"/>
      <c r="S1367" s="1186"/>
      <c r="T1367" s="1186"/>
      <c r="U1367" s="1186"/>
      <c r="V1367" s="1186"/>
      <c r="W1367" s="1186">
        <v>40.4</v>
      </c>
      <c r="X1367" s="1186">
        <v>4.7</v>
      </c>
      <c r="Y1367" s="1186">
        <v>36.5</v>
      </c>
      <c r="Z1367" s="1186">
        <v>3</v>
      </c>
      <c r="AA1367" s="1186"/>
      <c r="AB1367" s="1186"/>
      <c r="AC1367" s="1186"/>
      <c r="AD1367" s="1187"/>
    </row>
    <row r="1368" spans="1:30" x14ac:dyDescent="0.2">
      <c r="A1368">
        <f t="shared" si="55"/>
        <v>34</v>
      </c>
      <c r="B1368">
        <v>1359</v>
      </c>
      <c r="C1368" s="1078">
        <v>3</v>
      </c>
      <c r="D1368" s="1077" t="s">
        <v>5502</v>
      </c>
      <c r="E1368" s="1077" t="s">
        <v>5519</v>
      </c>
      <c r="F1368" s="1185">
        <v>1</v>
      </c>
      <c r="G1368" s="1186"/>
      <c r="H1368" s="1186"/>
      <c r="I1368" s="1186"/>
      <c r="J1368" s="1186"/>
      <c r="K1368" s="1186"/>
      <c r="L1368" s="1186"/>
      <c r="M1368" s="1186"/>
      <c r="N1368" s="1186"/>
      <c r="O1368" s="1186"/>
      <c r="P1368" s="1186"/>
      <c r="Q1368" s="1186"/>
      <c r="R1368" s="1186"/>
      <c r="S1368" s="1186"/>
      <c r="T1368" s="1186"/>
      <c r="U1368" s="1186"/>
      <c r="V1368" s="1186"/>
      <c r="W1368" s="1186">
        <v>77.5</v>
      </c>
      <c r="X1368" s="1186">
        <v>4.4000000000000004</v>
      </c>
      <c r="Y1368" s="1186">
        <v>67.2</v>
      </c>
      <c r="Z1368" s="1186">
        <v>2.8</v>
      </c>
      <c r="AA1368" s="1186"/>
      <c r="AB1368" s="1186"/>
      <c r="AC1368" s="1186"/>
      <c r="AD1368" s="1187"/>
    </row>
    <row r="1369" spans="1:30" x14ac:dyDescent="0.2">
      <c r="A1369">
        <f t="shared" si="55"/>
        <v>34</v>
      </c>
      <c r="B1369">
        <v>1360</v>
      </c>
      <c r="C1369" s="1078">
        <v>3</v>
      </c>
      <c r="D1369" s="1077" t="s">
        <v>5502</v>
      </c>
      <c r="E1369" s="1077" t="s">
        <v>5520</v>
      </c>
      <c r="F1369" s="1185">
        <v>4</v>
      </c>
      <c r="G1369" s="1186"/>
      <c r="H1369" s="1186"/>
      <c r="I1369" s="1186"/>
      <c r="J1369" s="1186"/>
      <c r="K1369" s="1186"/>
      <c r="L1369" s="1186"/>
      <c r="M1369" s="1186"/>
      <c r="N1369" s="1186"/>
      <c r="O1369" s="1186"/>
      <c r="P1369" s="1186"/>
      <c r="Q1369" s="1186"/>
      <c r="R1369" s="1186"/>
      <c r="S1369" s="1186"/>
      <c r="T1369" s="1186"/>
      <c r="U1369" s="1186"/>
      <c r="V1369" s="1186"/>
      <c r="W1369" s="1186">
        <v>4.9000000000000004</v>
      </c>
      <c r="X1369" s="1186">
        <v>4.5999999999999996</v>
      </c>
      <c r="Y1369" s="1186">
        <v>6.21</v>
      </c>
      <c r="Z1369" s="1186">
        <v>2.83</v>
      </c>
      <c r="AA1369" s="1186"/>
      <c r="AB1369" s="1186"/>
      <c r="AC1369" s="1186"/>
      <c r="AD1369" s="1187"/>
    </row>
    <row r="1370" spans="1:30" x14ac:dyDescent="0.2">
      <c r="A1370">
        <f t="shared" si="55"/>
        <v>34</v>
      </c>
      <c r="B1370">
        <v>1361</v>
      </c>
      <c r="C1370" s="1078">
        <v>3</v>
      </c>
      <c r="D1370" s="1077" t="s">
        <v>5502</v>
      </c>
      <c r="E1370" s="1077" t="s">
        <v>5521</v>
      </c>
      <c r="F1370" s="1185">
        <v>4</v>
      </c>
      <c r="G1370" s="1186"/>
      <c r="H1370" s="1186"/>
      <c r="I1370" s="1186"/>
      <c r="J1370" s="1186"/>
      <c r="K1370" s="1186"/>
      <c r="L1370" s="1186"/>
      <c r="M1370" s="1186"/>
      <c r="N1370" s="1186"/>
      <c r="O1370" s="1186"/>
      <c r="P1370" s="1186"/>
      <c r="Q1370" s="1186"/>
      <c r="R1370" s="1186"/>
      <c r="S1370" s="1186"/>
      <c r="T1370" s="1186"/>
      <c r="U1370" s="1186"/>
      <c r="V1370" s="1186"/>
      <c r="W1370" s="1186">
        <v>5.21</v>
      </c>
      <c r="X1370" s="1186">
        <v>4.78</v>
      </c>
      <c r="Y1370" s="1186">
        <v>8.42</v>
      </c>
      <c r="Z1370" s="1186">
        <v>2.96</v>
      </c>
      <c r="AA1370" s="1186"/>
      <c r="AB1370" s="1186"/>
      <c r="AC1370" s="1186"/>
      <c r="AD1370" s="1187"/>
    </row>
    <row r="1371" spans="1:30" x14ac:dyDescent="0.2">
      <c r="A1371">
        <f t="shared" si="55"/>
        <v>34</v>
      </c>
      <c r="B1371">
        <v>1362</v>
      </c>
      <c r="C1371" s="1078">
        <v>3</v>
      </c>
      <c r="D1371" s="1077" t="s">
        <v>5502</v>
      </c>
      <c r="E1371" s="1077" t="s">
        <v>5522</v>
      </c>
      <c r="F1371" s="1185">
        <v>4</v>
      </c>
      <c r="G1371" s="1186"/>
      <c r="H1371" s="1186"/>
      <c r="I1371" s="1186"/>
      <c r="J1371" s="1186"/>
      <c r="K1371" s="1186"/>
      <c r="L1371" s="1186"/>
      <c r="M1371" s="1186"/>
      <c r="N1371" s="1186"/>
      <c r="O1371" s="1186"/>
      <c r="P1371" s="1186"/>
      <c r="Q1371" s="1186"/>
      <c r="R1371" s="1186"/>
      <c r="S1371" s="1186"/>
      <c r="T1371" s="1186"/>
      <c r="U1371" s="1186"/>
      <c r="V1371" s="1186"/>
      <c r="W1371" s="1186">
        <v>10.42</v>
      </c>
      <c r="X1371" s="1186">
        <v>4.87</v>
      </c>
      <c r="Y1371" s="1186">
        <v>12.19</v>
      </c>
      <c r="Z1371" s="1186">
        <v>3.05</v>
      </c>
      <c r="AA1371" s="1186"/>
      <c r="AB1371" s="1186"/>
      <c r="AC1371" s="1186"/>
      <c r="AD1371" s="1187"/>
    </row>
    <row r="1372" spans="1:30" x14ac:dyDescent="0.2">
      <c r="A1372">
        <f t="shared" si="55"/>
        <v>34</v>
      </c>
      <c r="B1372">
        <v>1363</v>
      </c>
      <c r="C1372" s="1078">
        <v>4</v>
      </c>
      <c r="D1372" s="1077" t="s">
        <v>5502</v>
      </c>
      <c r="E1372" s="1077" t="s">
        <v>5523</v>
      </c>
      <c r="F1372" s="1185">
        <v>1</v>
      </c>
      <c r="G1372" s="1186"/>
      <c r="H1372" s="1186"/>
      <c r="I1372" s="1186"/>
      <c r="J1372" s="1186"/>
      <c r="K1372" s="1186"/>
      <c r="L1372" s="1186"/>
      <c r="M1372" s="1186"/>
      <c r="N1372" s="1186"/>
      <c r="O1372" s="1186"/>
      <c r="P1372" s="1186"/>
      <c r="Q1372" s="1186"/>
      <c r="R1372" s="1186"/>
      <c r="S1372" s="1186"/>
      <c r="T1372" s="1186"/>
      <c r="U1372" s="1186"/>
      <c r="V1372" s="1186"/>
      <c r="W1372" s="1186"/>
      <c r="X1372" s="1186"/>
      <c r="Y1372" s="1186"/>
      <c r="Z1372" s="1186"/>
      <c r="AA1372" s="1186">
        <v>10</v>
      </c>
      <c r="AB1372" s="1186">
        <v>5.7</v>
      </c>
      <c r="AC1372" s="1186">
        <v>8.1</v>
      </c>
      <c r="AD1372" s="1187">
        <v>3.1</v>
      </c>
    </row>
    <row r="1373" spans="1:30" x14ac:dyDescent="0.2">
      <c r="A1373">
        <f t="shared" si="55"/>
        <v>34</v>
      </c>
      <c r="B1373">
        <v>1364</v>
      </c>
      <c r="C1373" s="1078">
        <v>4</v>
      </c>
      <c r="D1373" s="1077" t="s">
        <v>5502</v>
      </c>
      <c r="E1373" s="1077" t="s">
        <v>5524</v>
      </c>
      <c r="F1373" s="1185">
        <v>1</v>
      </c>
      <c r="G1373" s="1186"/>
      <c r="H1373" s="1186"/>
      <c r="I1373" s="1186"/>
      <c r="J1373" s="1186"/>
      <c r="K1373" s="1186"/>
      <c r="L1373" s="1186"/>
      <c r="M1373" s="1186"/>
      <c r="N1373" s="1186"/>
      <c r="O1373" s="1186"/>
      <c r="P1373" s="1186"/>
      <c r="Q1373" s="1186"/>
      <c r="R1373" s="1186"/>
      <c r="S1373" s="1186"/>
      <c r="T1373" s="1186"/>
      <c r="U1373" s="1186"/>
      <c r="V1373" s="1186"/>
      <c r="W1373" s="1186"/>
      <c r="X1373" s="1186"/>
      <c r="Y1373" s="1186"/>
      <c r="Z1373" s="1186"/>
      <c r="AA1373" s="1186">
        <v>12.3</v>
      </c>
      <c r="AB1373" s="1186">
        <v>5.8</v>
      </c>
      <c r="AC1373" s="1186">
        <v>11.3</v>
      </c>
      <c r="AD1373" s="1187">
        <v>3.4</v>
      </c>
    </row>
    <row r="1374" spans="1:30" x14ac:dyDescent="0.2">
      <c r="A1374">
        <f t="shared" si="55"/>
        <v>34</v>
      </c>
      <c r="B1374">
        <v>1365</v>
      </c>
      <c r="C1374" s="1078">
        <v>4</v>
      </c>
      <c r="D1374" s="1077" t="s">
        <v>5502</v>
      </c>
      <c r="E1374" s="1077" t="s">
        <v>5525</v>
      </c>
      <c r="F1374" s="1185">
        <v>1</v>
      </c>
      <c r="G1374" s="1186"/>
      <c r="H1374" s="1186"/>
      <c r="I1374" s="1186"/>
      <c r="J1374" s="1186"/>
      <c r="K1374" s="1186"/>
      <c r="L1374" s="1186"/>
      <c r="M1374" s="1186"/>
      <c r="N1374" s="1186"/>
      <c r="O1374" s="1186"/>
      <c r="P1374" s="1186"/>
      <c r="Q1374" s="1186"/>
      <c r="R1374" s="1186"/>
      <c r="S1374" s="1186"/>
      <c r="T1374" s="1186"/>
      <c r="U1374" s="1186"/>
      <c r="V1374" s="1186"/>
      <c r="W1374" s="1186"/>
      <c r="X1374" s="1186"/>
      <c r="Y1374" s="1186"/>
      <c r="Z1374" s="1186"/>
      <c r="AA1374" s="1186">
        <v>16.600000000000001</v>
      </c>
      <c r="AB1374" s="1186">
        <v>5.9</v>
      </c>
      <c r="AC1374" s="1186">
        <v>14.3</v>
      </c>
      <c r="AD1374" s="1187">
        <v>3.3</v>
      </c>
    </row>
    <row r="1375" spans="1:30" x14ac:dyDescent="0.2">
      <c r="A1375">
        <f t="shared" si="55"/>
        <v>34</v>
      </c>
      <c r="B1375">
        <v>1366</v>
      </c>
      <c r="C1375" s="1078">
        <v>4</v>
      </c>
      <c r="D1375" s="1077" t="s">
        <v>5502</v>
      </c>
      <c r="E1375" s="1077" t="s">
        <v>5526</v>
      </c>
      <c r="F1375" s="1185">
        <v>1</v>
      </c>
      <c r="G1375" s="1186"/>
      <c r="H1375" s="1186"/>
      <c r="I1375" s="1186"/>
      <c r="J1375" s="1186"/>
      <c r="K1375" s="1186"/>
      <c r="L1375" s="1186"/>
      <c r="M1375" s="1186"/>
      <c r="N1375" s="1186"/>
      <c r="O1375" s="1186"/>
      <c r="P1375" s="1186"/>
      <c r="Q1375" s="1186"/>
      <c r="R1375" s="1186"/>
      <c r="S1375" s="1186"/>
      <c r="T1375" s="1186"/>
      <c r="U1375" s="1186"/>
      <c r="V1375" s="1186"/>
      <c r="W1375" s="1186"/>
      <c r="X1375" s="1186"/>
      <c r="Y1375" s="1186"/>
      <c r="Z1375" s="1186"/>
      <c r="AA1375" s="1186">
        <v>22.1</v>
      </c>
      <c r="AB1375" s="1186">
        <v>5.9</v>
      </c>
      <c r="AC1375" s="1186">
        <v>19.100000000000001</v>
      </c>
      <c r="AD1375" s="1187">
        <v>3.3</v>
      </c>
    </row>
    <row r="1376" spans="1:30" x14ac:dyDescent="0.2">
      <c r="A1376">
        <f t="shared" si="55"/>
        <v>34</v>
      </c>
      <c r="B1376">
        <v>1367</v>
      </c>
      <c r="C1376" s="1078">
        <v>4</v>
      </c>
      <c r="D1376" s="1077" t="s">
        <v>5502</v>
      </c>
      <c r="E1376" s="1077" t="s">
        <v>5527</v>
      </c>
      <c r="F1376" s="1185">
        <v>1</v>
      </c>
      <c r="G1376" s="1186"/>
      <c r="H1376" s="1186"/>
      <c r="I1376" s="1186"/>
      <c r="J1376" s="1186"/>
      <c r="K1376" s="1186"/>
      <c r="L1376" s="1186"/>
      <c r="M1376" s="1186"/>
      <c r="N1376" s="1186"/>
      <c r="O1376" s="1186"/>
      <c r="P1376" s="1186"/>
      <c r="Q1376" s="1186"/>
      <c r="R1376" s="1186"/>
      <c r="S1376" s="1186"/>
      <c r="T1376" s="1186"/>
      <c r="U1376" s="1186"/>
      <c r="V1376" s="1186"/>
      <c r="W1376" s="1186"/>
      <c r="X1376" s="1186"/>
      <c r="Y1376" s="1186"/>
      <c r="Z1376" s="1186"/>
      <c r="AA1376" s="1186">
        <v>35.299999999999997</v>
      </c>
      <c r="AB1376" s="1186">
        <v>5.7</v>
      </c>
      <c r="AC1376" s="1186">
        <v>30.3</v>
      </c>
      <c r="AD1376" s="1187">
        <v>3.4</v>
      </c>
    </row>
    <row r="1377" spans="1:30" x14ac:dyDescent="0.2">
      <c r="A1377">
        <f t="shared" si="55"/>
        <v>34</v>
      </c>
      <c r="B1377">
        <v>1368</v>
      </c>
      <c r="C1377" s="1078">
        <v>4</v>
      </c>
      <c r="D1377" s="1077" t="s">
        <v>5502</v>
      </c>
      <c r="E1377" s="1077" t="s">
        <v>5528</v>
      </c>
      <c r="F1377" s="1185">
        <v>1</v>
      </c>
      <c r="G1377" s="1186"/>
      <c r="H1377" s="1186"/>
      <c r="I1377" s="1186"/>
      <c r="J1377" s="1186"/>
      <c r="K1377" s="1186"/>
      <c r="L1377" s="1186"/>
      <c r="M1377" s="1186"/>
      <c r="N1377" s="1186"/>
      <c r="O1377" s="1186"/>
      <c r="P1377" s="1186"/>
      <c r="Q1377" s="1186"/>
      <c r="R1377" s="1186"/>
      <c r="S1377" s="1186"/>
      <c r="T1377" s="1186"/>
      <c r="U1377" s="1186"/>
      <c r="V1377" s="1186"/>
      <c r="W1377" s="1186"/>
      <c r="X1377" s="1186"/>
      <c r="Y1377" s="1186"/>
      <c r="Z1377" s="1186"/>
      <c r="AA1377" s="1186">
        <v>53.9</v>
      </c>
      <c r="AB1377" s="1186">
        <v>5.8</v>
      </c>
      <c r="AC1377" s="1186">
        <v>48.1</v>
      </c>
      <c r="AD1377" s="1187">
        <v>3.7</v>
      </c>
    </row>
    <row r="1378" spans="1:30" x14ac:dyDescent="0.2">
      <c r="A1378">
        <f t="shared" si="55"/>
        <v>34</v>
      </c>
      <c r="B1378">
        <v>1369</v>
      </c>
      <c r="C1378" s="1078">
        <v>4</v>
      </c>
      <c r="D1378" s="1077" t="s">
        <v>5502</v>
      </c>
      <c r="E1378" s="1077" t="s">
        <v>5529</v>
      </c>
      <c r="F1378" s="1185">
        <v>1</v>
      </c>
      <c r="G1378" s="1186"/>
      <c r="H1378" s="1186"/>
      <c r="I1378" s="1186"/>
      <c r="J1378" s="1186"/>
      <c r="K1378" s="1186"/>
      <c r="L1378" s="1186"/>
      <c r="M1378" s="1186"/>
      <c r="N1378" s="1186"/>
      <c r="O1378" s="1186"/>
      <c r="P1378" s="1186"/>
      <c r="Q1378" s="1186"/>
      <c r="R1378" s="1186"/>
      <c r="S1378" s="1186"/>
      <c r="T1378" s="1186"/>
      <c r="U1378" s="1186"/>
      <c r="V1378" s="1186"/>
      <c r="W1378" s="1186"/>
      <c r="X1378" s="1186"/>
      <c r="Y1378" s="1186"/>
      <c r="Z1378" s="1186"/>
      <c r="AA1378" s="1186">
        <v>98.8</v>
      </c>
      <c r="AB1378" s="1186">
        <v>5.2</v>
      </c>
      <c r="AC1378" s="1186">
        <v>86.6</v>
      </c>
      <c r="AD1378" s="1187">
        <v>3.6</v>
      </c>
    </row>
    <row r="1379" spans="1:30" x14ac:dyDescent="0.2">
      <c r="A1379">
        <f t="shared" si="55"/>
        <v>35</v>
      </c>
      <c r="B1379">
        <v>1370</v>
      </c>
      <c r="C1379" s="1078">
        <v>2</v>
      </c>
      <c r="D1379" s="1077" t="s">
        <v>3917</v>
      </c>
      <c r="E1379" s="1077" t="s">
        <v>4238</v>
      </c>
      <c r="F1379" s="1185"/>
      <c r="G1379" s="1186">
        <v>3.3</v>
      </c>
      <c r="H1379" s="1186">
        <v>2.2999999999999998</v>
      </c>
      <c r="I1379" s="1186">
        <v>3.2</v>
      </c>
      <c r="J1379" s="1186">
        <v>2.8</v>
      </c>
      <c r="K1379" s="1186">
        <v>3.3</v>
      </c>
      <c r="L1379" s="1186">
        <v>3.7</v>
      </c>
      <c r="M1379" s="1186">
        <v>3.2</v>
      </c>
      <c r="N1379" s="1186">
        <v>5</v>
      </c>
      <c r="O1379" s="1186"/>
      <c r="P1379" s="1186"/>
      <c r="Q1379" s="1186">
        <v>3.4</v>
      </c>
      <c r="R1379" s="1186">
        <v>1.8</v>
      </c>
      <c r="S1379" s="1186">
        <v>3.3</v>
      </c>
      <c r="T1379" s="1186">
        <v>2.8</v>
      </c>
      <c r="U1379" s="1186"/>
      <c r="V1379" s="1186"/>
      <c r="W1379" s="1186"/>
      <c r="X1379" s="1186"/>
      <c r="Y1379" s="1186"/>
      <c r="Z1379" s="1186"/>
      <c r="AA1379" s="1186"/>
      <c r="AB1379" s="1186"/>
      <c r="AC1379" s="1186"/>
      <c r="AD1379" s="1187"/>
    </row>
    <row r="1380" spans="1:30" x14ac:dyDescent="0.2">
      <c r="A1380">
        <f t="shared" si="55"/>
        <v>35</v>
      </c>
      <c r="B1380">
        <v>1371</v>
      </c>
      <c r="C1380" s="1078">
        <v>2</v>
      </c>
      <c r="D1380" s="1077" t="s">
        <v>3917</v>
      </c>
      <c r="E1380" s="1077" t="s">
        <v>4239</v>
      </c>
      <c r="F1380" s="1185"/>
      <c r="G1380" s="1186">
        <v>4.0999999999999996</v>
      </c>
      <c r="H1380" s="1186">
        <v>2.2000000000000002</v>
      </c>
      <c r="I1380" s="1186">
        <v>4.3</v>
      </c>
      <c r="J1380" s="1186">
        <v>2.7</v>
      </c>
      <c r="K1380" s="1186">
        <v>4.4000000000000004</v>
      </c>
      <c r="L1380" s="1186">
        <v>3.4</v>
      </c>
      <c r="M1380" s="1186">
        <v>4.9000000000000004</v>
      </c>
      <c r="N1380" s="1186">
        <v>4.5999999999999996</v>
      </c>
      <c r="O1380" s="1186"/>
      <c r="P1380" s="1186"/>
      <c r="Q1380" s="1186">
        <v>3.7</v>
      </c>
      <c r="R1380" s="1186">
        <v>1.8</v>
      </c>
      <c r="S1380" s="1186">
        <v>4.7</v>
      </c>
      <c r="T1380" s="1186">
        <v>2.6</v>
      </c>
      <c r="U1380" s="1186">
        <v>4.5999999999999996</v>
      </c>
      <c r="V1380" s="1186">
        <v>3.5</v>
      </c>
      <c r="W1380" s="1186"/>
      <c r="X1380" s="1186"/>
      <c r="Y1380" s="1186"/>
      <c r="Z1380" s="1186"/>
      <c r="AA1380" s="1186"/>
      <c r="AB1380" s="1186"/>
      <c r="AC1380" s="1186"/>
      <c r="AD1380" s="1187"/>
    </row>
    <row r="1381" spans="1:30" x14ac:dyDescent="0.2">
      <c r="A1381">
        <f t="shared" si="55"/>
        <v>35</v>
      </c>
      <c r="B1381">
        <v>1372</v>
      </c>
      <c r="C1381" s="1078">
        <v>2</v>
      </c>
      <c r="D1381" s="1077" t="s">
        <v>3917</v>
      </c>
      <c r="E1381" s="1077" t="s">
        <v>4240</v>
      </c>
      <c r="F1381" s="1185"/>
      <c r="G1381" s="1186">
        <v>4.9000000000000004</v>
      </c>
      <c r="H1381" s="1186">
        <v>2.5</v>
      </c>
      <c r="I1381" s="1186">
        <v>4.9000000000000004</v>
      </c>
      <c r="J1381" s="1186">
        <v>5.2</v>
      </c>
      <c r="K1381" s="1186">
        <v>4.8</v>
      </c>
      <c r="L1381" s="1186">
        <v>3.9</v>
      </c>
      <c r="M1381" s="1186">
        <v>4.9000000000000004</v>
      </c>
      <c r="N1381" s="1186">
        <v>5.2</v>
      </c>
      <c r="O1381" s="1186"/>
      <c r="P1381" s="1186"/>
      <c r="Q1381" s="1186">
        <v>4.2</v>
      </c>
      <c r="R1381" s="1186">
        <v>2</v>
      </c>
      <c r="S1381" s="1186">
        <v>4.7</v>
      </c>
      <c r="T1381" s="1186">
        <v>2.9</v>
      </c>
      <c r="U1381" s="1186"/>
      <c r="V1381" s="1186"/>
      <c r="W1381" s="1186"/>
      <c r="X1381" s="1186"/>
      <c r="Y1381" s="1186"/>
      <c r="Z1381" s="1186"/>
      <c r="AA1381" s="1186"/>
      <c r="AB1381" s="1186"/>
      <c r="AC1381" s="1186"/>
      <c r="AD1381" s="1187"/>
    </row>
    <row r="1382" spans="1:30" x14ac:dyDescent="0.2">
      <c r="A1382">
        <f t="shared" si="55"/>
        <v>35</v>
      </c>
      <c r="B1382">
        <v>1373</v>
      </c>
      <c r="C1382" s="1078">
        <v>2</v>
      </c>
      <c r="D1382" s="1077" t="s">
        <v>3917</v>
      </c>
      <c r="E1382" s="1077" t="s">
        <v>4241</v>
      </c>
      <c r="F1382" s="1185"/>
      <c r="G1382" s="1186">
        <v>4.3</v>
      </c>
      <c r="H1382" s="1186">
        <v>2.2999999999999998</v>
      </c>
      <c r="I1382" s="1186">
        <v>5.8</v>
      </c>
      <c r="J1382" s="1186">
        <v>2.9</v>
      </c>
      <c r="K1382" s="1186">
        <v>6.6</v>
      </c>
      <c r="L1382" s="1186">
        <v>3.4</v>
      </c>
      <c r="M1382" s="1186">
        <v>7</v>
      </c>
      <c r="N1382" s="1186">
        <v>4.5999999999999996</v>
      </c>
      <c r="O1382" s="1186"/>
      <c r="P1382" s="1186"/>
      <c r="Q1382" s="1186">
        <v>4.5</v>
      </c>
      <c r="R1382" s="1186">
        <v>1.8</v>
      </c>
      <c r="S1382" s="1186">
        <v>6.8</v>
      </c>
      <c r="T1382" s="1186">
        <v>2.6</v>
      </c>
      <c r="U1382" s="1186">
        <v>6</v>
      </c>
      <c r="V1382" s="1186">
        <v>3.5</v>
      </c>
      <c r="W1382" s="1186"/>
      <c r="X1382" s="1186"/>
      <c r="Y1382" s="1186"/>
      <c r="Z1382" s="1186"/>
      <c r="AA1382" s="1186"/>
      <c r="AB1382" s="1186"/>
      <c r="AC1382" s="1186"/>
      <c r="AD1382" s="1187"/>
    </row>
    <row r="1383" spans="1:30" x14ac:dyDescent="0.2">
      <c r="A1383">
        <f t="shared" si="55"/>
        <v>35</v>
      </c>
      <c r="B1383">
        <v>1374</v>
      </c>
      <c r="C1383" s="1078">
        <v>2</v>
      </c>
      <c r="D1383" s="1077" t="s">
        <v>3917</v>
      </c>
      <c r="E1383" s="1077" t="s">
        <v>4242</v>
      </c>
      <c r="F1383" s="1185"/>
      <c r="G1383" s="1186">
        <v>4.3</v>
      </c>
      <c r="H1383" s="1186">
        <v>2.2999999999999998</v>
      </c>
      <c r="I1383" s="1186">
        <v>5.8</v>
      </c>
      <c r="J1383" s="1186">
        <v>2.9</v>
      </c>
      <c r="K1383" s="1186">
        <v>6.6</v>
      </c>
      <c r="L1383" s="1186">
        <v>3.4</v>
      </c>
      <c r="M1383" s="1186">
        <v>6.9</v>
      </c>
      <c r="N1383" s="1186">
        <v>4.5999999999999996</v>
      </c>
      <c r="O1383" s="1186"/>
      <c r="P1383" s="1186"/>
      <c r="Q1383" s="1186">
        <v>4.5</v>
      </c>
      <c r="R1383" s="1186">
        <v>1.8</v>
      </c>
      <c r="S1383" s="1186">
        <v>6.8</v>
      </c>
      <c r="T1383" s="1186">
        <v>2.6</v>
      </c>
      <c r="U1383" s="1186">
        <v>6</v>
      </c>
      <c r="V1383" s="1186">
        <v>3.5</v>
      </c>
      <c r="W1383" s="1186"/>
      <c r="X1383" s="1186"/>
      <c r="Y1383" s="1186"/>
      <c r="Z1383" s="1186"/>
      <c r="AA1383" s="1186"/>
      <c r="AB1383" s="1186"/>
      <c r="AC1383" s="1186"/>
      <c r="AD1383" s="1187"/>
    </row>
    <row r="1384" spans="1:30" x14ac:dyDescent="0.2">
      <c r="A1384">
        <f t="shared" si="55"/>
        <v>35</v>
      </c>
      <c r="B1384">
        <v>1375</v>
      </c>
      <c r="C1384" s="1078">
        <v>2</v>
      </c>
      <c r="D1384" s="1077" t="s">
        <v>3917</v>
      </c>
      <c r="E1384" s="1077" t="s">
        <v>4243</v>
      </c>
      <c r="F1384" s="1185"/>
      <c r="G1384" s="1186">
        <v>5.9</v>
      </c>
      <c r="H1384" s="1186">
        <v>2.4</v>
      </c>
      <c r="I1384" s="1186">
        <v>6.6</v>
      </c>
      <c r="J1384" s="1186">
        <v>2.8</v>
      </c>
      <c r="K1384" s="1186">
        <v>7.1</v>
      </c>
      <c r="L1384" s="1186">
        <v>3.5</v>
      </c>
      <c r="M1384" s="1186">
        <v>8.6999999999999993</v>
      </c>
      <c r="N1384" s="1186">
        <v>4.4000000000000004</v>
      </c>
      <c r="O1384" s="1186"/>
      <c r="P1384" s="1186"/>
      <c r="Q1384" s="1186">
        <v>5.6</v>
      </c>
      <c r="R1384" s="1186">
        <v>1.7</v>
      </c>
      <c r="S1384" s="1186">
        <v>9.3000000000000007</v>
      </c>
      <c r="T1384" s="1186">
        <v>2.6</v>
      </c>
      <c r="U1384" s="1186">
        <v>6.6</v>
      </c>
      <c r="V1384" s="1186">
        <v>3.5</v>
      </c>
      <c r="W1384" s="1186"/>
      <c r="X1384" s="1186"/>
      <c r="Y1384" s="1186"/>
      <c r="Z1384" s="1186"/>
      <c r="AA1384" s="1186"/>
      <c r="AB1384" s="1186"/>
      <c r="AC1384" s="1186"/>
      <c r="AD1384" s="1187"/>
    </row>
    <row r="1385" spans="1:30" x14ac:dyDescent="0.2">
      <c r="A1385">
        <f t="shared" si="55"/>
        <v>35</v>
      </c>
      <c r="B1385">
        <v>1376</v>
      </c>
      <c r="C1385" s="1078">
        <v>2</v>
      </c>
      <c r="D1385" s="1077" t="s">
        <v>3917</v>
      </c>
      <c r="E1385" s="1077" t="s">
        <v>4244</v>
      </c>
      <c r="F1385" s="1185"/>
      <c r="G1385" s="1186">
        <v>5.9</v>
      </c>
      <c r="H1385" s="1186">
        <v>2.4</v>
      </c>
      <c r="I1385" s="1186">
        <v>6.6</v>
      </c>
      <c r="J1385" s="1186">
        <v>2.8</v>
      </c>
      <c r="K1385" s="1186">
        <v>7.1</v>
      </c>
      <c r="L1385" s="1186">
        <v>3.5</v>
      </c>
      <c r="M1385" s="1186">
        <v>8.8000000000000007</v>
      </c>
      <c r="N1385" s="1186">
        <v>4.4000000000000004</v>
      </c>
      <c r="O1385" s="1186"/>
      <c r="P1385" s="1186"/>
      <c r="Q1385" s="1186">
        <v>5.6</v>
      </c>
      <c r="R1385" s="1186">
        <v>1.7</v>
      </c>
      <c r="S1385" s="1186">
        <v>9.3000000000000007</v>
      </c>
      <c r="T1385" s="1186">
        <v>2.6</v>
      </c>
      <c r="U1385" s="1186">
        <v>6.6</v>
      </c>
      <c r="V1385" s="1186">
        <v>3.5</v>
      </c>
      <c r="W1385" s="1186"/>
      <c r="X1385" s="1186"/>
      <c r="Y1385" s="1186"/>
      <c r="Z1385" s="1186"/>
      <c r="AA1385" s="1186"/>
      <c r="AB1385" s="1186"/>
      <c r="AC1385" s="1186"/>
      <c r="AD1385" s="1187"/>
    </row>
    <row r="1386" spans="1:30" x14ac:dyDescent="0.2">
      <c r="A1386">
        <f t="shared" si="55"/>
        <v>35</v>
      </c>
      <c r="B1386">
        <v>1377</v>
      </c>
      <c r="C1386" s="1078">
        <v>2</v>
      </c>
      <c r="D1386" s="1077" t="s">
        <v>3917</v>
      </c>
      <c r="E1386" s="1077" t="s">
        <v>4245</v>
      </c>
      <c r="F1386" s="1185"/>
      <c r="G1386" s="1186">
        <v>8.6999999999999993</v>
      </c>
      <c r="H1386" s="1186">
        <v>2.5</v>
      </c>
      <c r="I1386" s="1186">
        <v>9.3000000000000007</v>
      </c>
      <c r="J1386" s="1186">
        <v>3</v>
      </c>
      <c r="K1386" s="1186">
        <v>8.4</v>
      </c>
      <c r="L1386" s="1186">
        <v>3.6</v>
      </c>
      <c r="M1386" s="1186">
        <v>8.6999999999999993</v>
      </c>
      <c r="N1386" s="1186">
        <v>4.8</v>
      </c>
      <c r="O1386" s="1186"/>
      <c r="P1386" s="1186"/>
      <c r="Q1386" s="1186">
        <v>9.9</v>
      </c>
      <c r="R1386" s="1186">
        <v>2.2999999999999998</v>
      </c>
      <c r="S1386" s="1186">
        <v>8.9</v>
      </c>
      <c r="T1386" s="1186">
        <v>2.4</v>
      </c>
      <c r="U1386" s="1186"/>
      <c r="V1386" s="1186"/>
      <c r="W1386" s="1186"/>
      <c r="X1386" s="1186"/>
      <c r="Y1386" s="1186"/>
      <c r="Z1386" s="1186"/>
      <c r="AA1386" s="1186"/>
      <c r="AB1386" s="1186"/>
      <c r="AC1386" s="1186"/>
      <c r="AD1386" s="1187"/>
    </row>
    <row r="1387" spans="1:30" x14ac:dyDescent="0.2">
      <c r="A1387">
        <f t="shared" si="55"/>
        <v>35</v>
      </c>
      <c r="B1387">
        <v>1378</v>
      </c>
      <c r="C1387" s="1078">
        <v>2</v>
      </c>
      <c r="D1387" s="1077" t="s">
        <v>3917</v>
      </c>
      <c r="E1387" s="1077" t="s">
        <v>4246</v>
      </c>
      <c r="F1387" s="1185"/>
      <c r="G1387" s="1186"/>
      <c r="H1387" s="1186"/>
      <c r="I1387" s="1186">
        <v>8.9</v>
      </c>
      <c r="J1387" s="1186">
        <v>2.9</v>
      </c>
      <c r="K1387" s="1186">
        <v>8.9</v>
      </c>
      <c r="L1387" s="1186">
        <v>3.8</v>
      </c>
      <c r="M1387" s="1186">
        <v>9</v>
      </c>
      <c r="N1387" s="1186">
        <v>5.0999999999999996</v>
      </c>
      <c r="O1387" s="1186"/>
      <c r="P1387" s="1186"/>
      <c r="Q1387" s="1186">
        <v>8.8000000000000007</v>
      </c>
      <c r="R1387" s="1186">
        <v>2.1</v>
      </c>
      <c r="S1387" s="1186">
        <v>8.6999999999999993</v>
      </c>
      <c r="T1387" s="1186">
        <v>3</v>
      </c>
      <c r="U1387" s="1186"/>
      <c r="V1387" s="1186"/>
      <c r="W1387" s="1186"/>
      <c r="X1387" s="1186"/>
      <c r="Y1387" s="1186"/>
      <c r="Z1387" s="1186"/>
      <c r="AA1387" s="1186"/>
      <c r="AB1387" s="1186"/>
      <c r="AC1387" s="1186"/>
      <c r="AD1387" s="1187"/>
    </row>
    <row r="1388" spans="1:30" x14ac:dyDescent="0.2">
      <c r="A1388">
        <f t="shared" si="55"/>
        <v>35</v>
      </c>
      <c r="B1388">
        <v>1379</v>
      </c>
      <c r="C1388" s="1078">
        <v>2</v>
      </c>
      <c r="D1388" s="1077" t="s">
        <v>3917</v>
      </c>
      <c r="E1388" s="1077" t="s">
        <v>4247</v>
      </c>
      <c r="F1388" s="1185"/>
      <c r="G1388" s="1186"/>
      <c r="H1388" s="1186"/>
      <c r="I1388" s="1186">
        <v>11.8</v>
      </c>
      <c r="J1388" s="1186">
        <v>2.7</v>
      </c>
      <c r="K1388" s="1186">
        <v>11.3</v>
      </c>
      <c r="L1388" s="1186">
        <v>3.5</v>
      </c>
      <c r="M1388" s="1186">
        <v>11.7</v>
      </c>
      <c r="N1388" s="1186">
        <v>4.7</v>
      </c>
      <c r="O1388" s="1186"/>
      <c r="P1388" s="1186"/>
      <c r="Q1388" s="1186">
        <v>10.6</v>
      </c>
      <c r="R1388" s="1186">
        <v>1.9</v>
      </c>
      <c r="S1388" s="1186">
        <v>11.4</v>
      </c>
      <c r="T1388" s="1186">
        <v>3</v>
      </c>
      <c r="U1388" s="1186"/>
      <c r="V1388" s="1186"/>
      <c r="W1388" s="1186"/>
      <c r="X1388" s="1186"/>
      <c r="Y1388" s="1186"/>
      <c r="Z1388" s="1186"/>
      <c r="AA1388" s="1186"/>
      <c r="AB1388" s="1186"/>
      <c r="AC1388" s="1186"/>
      <c r="AD1388" s="1187"/>
    </row>
    <row r="1389" spans="1:30" x14ac:dyDescent="0.2">
      <c r="A1389">
        <f t="shared" si="55"/>
        <v>35</v>
      </c>
      <c r="B1389">
        <v>1380</v>
      </c>
      <c r="C1389" s="1078">
        <v>2</v>
      </c>
      <c r="D1389" s="1077" t="s">
        <v>3917</v>
      </c>
      <c r="E1389" s="1077" t="s">
        <v>4248</v>
      </c>
      <c r="F1389" s="1185"/>
      <c r="G1389" s="1186">
        <v>11.3</v>
      </c>
      <c r="H1389" s="1186">
        <v>2.2000000000000002</v>
      </c>
      <c r="I1389" s="1186">
        <v>11.4</v>
      </c>
      <c r="J1389" s="1186">
        <v>2.5</v>
      </c>
      <c r="K1389" s="1186">
        <v>11.5</v>
      </c>
      <c r="L1389" s="1186">
        <v>3.2</v>
      </c>
      <c r="M1389" s="1186">
        <v>11.7</v>
      </c>
      <c r="N1389" s="1186">
        <v>4.5</v>
      </c>
      <c r="O1389" s="1186"/>
      <c r="P1389" s="1186"/>
      <c r="Q1389" s="1186">
        <v>11.4</v>
      </c>
      <c r="R1389" s="1186">
        <v>2.1</v>
      </c>
      <c r="S1389" s="1186">
        <v>9.9</v>
      </c>
      <c r="T1389" s="1186">
        <v>2.7</v>
      </c>
      <c r="U1389" s="1186"/>
      <c r="V1389" s="1186"/>
      <c r="W1389" s="1186"/>
      <c r="X1389" s="1186"/>
      <c r="Y1389" s="1186"/>
      <c r="Z1389" s="1186"/>
      <c r="AA1389" s="1186"/>
      <c r="AB1389" s="1186"/>
      <c r="AC1389" s="1186"/>
      <c r="AD1389" s="1187"/>
    </row>
    <row r="1390" spans="1:30" x14ac:dyDescent="0.2">
      <c r="A1390">
        <f t="shared" si="55"/>
        <v>35</v>
      </c>
      <c r="B1390">
        <v>1381</v>
      </c>
      <c r="C1390" s="1078">
        <v>2</v>
      </c>
      <c r="D1390" s="1077" t="s">
        <v>3917</v>
      </c>
      <c r="E1390" s="1077" t="s">
        <v>4249</v>
      </c>
      <c r="F1390" s="1185"/>
      <c r="G1390" s="1186"/>
      <c r="H1390" s="1186"/>
      <c r="I1390" s="1186">
        <v>15.8</v>
      </c>
      <c r="J1390" s="1186">
        <v>2.6</v>
      </c>
      <c r="K1390" s="1186">
        <v>15.9</v>
      </c>
      <c r="L1390" s="1186">
        <v>3.2</v>
      </c>
      <c r="M1390" s="1186">
        <v>16.3</v>
      </c>
      <c r="N1390" s="1186">
        <v>4.5999999999999996</v>
      </c>
      <c r="O1390" s="1186"/>
      <c r="P1390" s="1186"/>
      <c r="Q1390" s="1186">
        <v>16.100000000000001</v>
      </c>
      <c r="R1390" s="1186">
        <v>1.8</v>
      </c>
      <c r="S1390" s="1186">
        <v>16.399999999999999</v>
      </c>
      <c r="T1390" s="1186">
        <v>2.9</v>
      </c>
      <c r="U1390" s="1186"/>
      <c r="V1390" s="1186"/>
      <c r="W1390" s="1186"/>
      <c r="X1390" s="1186"/>
      <c r="Y1390" s="1186"/>
      <c r="Z1390" s="1186"/>
      <c r="AA1390" s="1186"/>
      <c r="AB1390" s="1186"/>
      <c r="AC1390" s="1186"/>
      <c r="AD1390" s="1187"/>
    </row>
    <row r="1391" spans="1:30" x14ac:dyDescent="0.2">
      <c r="A1391">
        <f t="shared" si="55"/>
        <v>36</v>
      </c>
      <c r="B1391">
        <v>1382</v>
      </c>
      <c r="C1391" s="1078">
        <v>2</v>
      </c>
      <c r="D1391" s="1077" t="s">
        <v>5680</v>
      </c>
      <c r="E1391" s="1077" t="s">
        <v>5681</v>
      </c>
      <c r="F1391" s="1185">
        <v>4</v>
      </c>
      <c r="G1391" s="1186">
        <v>4.9420000000000002</v>
      </c>
      <c r="H1391" s="1186">
        <v>2.62</v>
      </c>
      <c r="I1391" s="1186">
        <v>6.2370000000000001</v>
      </c>
      <c r="J1391" s="1186">
        <v>3.18</v>
      </c>
      <c r="K1391" s="1186">
        <v>7.984</v>
      </c>
      <c r="L1391" s="1186">
        <v>3.91</v>
      </c>
      <c r="M1391" s="1186">
        <v>9.3149999999999995</v>
      </c>
      <c r="N1391" s="1186">
        <v>4.58</v>
      </c>
      <c r="O1391" s="1186"/>
      <c r="P1391" s="1186"/>
      <c r="Q1391" s="1186">
        <v>5.74</v>
      </c>
      <c r="R1391" s="1186">
        <v>2.29</v>
      </c>
      <c r="S1391" s="1186">
        <v>8.5660000000000007</v>
      </c>
      <c r="T1391" s="1186">
        <v>3.09</v>
      </c>
      <c r="U1391" s="1186"/>
      <c r="V1391" s="1186"/>
      <c r="W1391" s="1186"/>
      <c r="X1391" s="1186"/>
      <c r="Y1391" s="1186"/>
      <c r="Z1391" s="1186"/>
      <c r="AA1391" s="1186"/>
      <c r="AB1391" s="1186"/>
      <c r="AC1391" s="1186"/>
      <c r="AD1391" s="1187"/>
    </row>
    <row r="1392" spans="1:30" x14ac:dyDescent="0.2">
      <c r="A1392">
        <f t="shared" si="55"/>
        <v>36</v>
      </c>
      <c r="B1392">
        <v>1383</v>
      </c>
      <c r="C1392" s="1078">
        <v>2</v>
      </c>
      <c r="D1392" s="1077" t="s">
        <v>5680</v>
      </c>
      <c r="E1392" s="1077" t="s">
        <v>5682</v>
      </c>
      <c r="F1392" s="1185">
        <v>4</v>
      </c>
      <c r="G1392" s="1186">
        <v>6.6180000000000003</v>
      </c>
      <c r="H1392" s="1186">
        <v>2.62</v>
      </c>
      <c r="I1392" s="1186">
        <v>8.1549999999999994</v>
      </c>
      <c r="J1392" s="1186">
        <v>3.02</v>
      </c>
      <c r="K1392" s="1186">
        <v>10.17</v>
      </c>
      <c r="L1392" s="1186">
        <v>3.59</v>
      </c>
      <c r="M1392" s="1186">
        <v>11.179</v>
      </c>
      <c r="N1392" s="1186">
        <v>3.85</v>
      </c>
      <c r="O1392" s="1186"/>
      <c r="P1392" s="1186"/>
      <c r="Q1392" s="1186">
        <v>7.5750000000000002</v>
      </c>
      <c r="R1392" s="1186">
        <v>2.2200000000000002</v>
      </c>
      <c r="S1392" s="1186">
        <v>10.991</v>
      </c>
      <c r="T1392" s="1186">
        <v>2.86</v>
      </c>
      <c r="U1392" s="1186"/>
      <c r="V1392" s="1186"/>
      <c r="W1392" s="1186"/>
      <c r="X1392" s="1186"/>
      <c r="Y1392" s="1186"/>
      <c r="Z1392" s="1186"/>
      <c r="AA1392" s="1186"/>
      <c r="AB1392" s="1186"/>
      <c r="AC1392" s="1186"/>
      <c r="AD1392" s="1187"/>
    </row>
    <row r="1393" spans="1:30" x14ac:dyDescent="0.2">
      <c r="A1393">
        <f t="shared" si="55"/>
        <v>36</v>
      </c>
      <c r="B1393">
        <v>1384</v>
      </c>
      <c r="C1393" s="1078">
        <v>2</v>
      </c>
      <c r="D1393" s="1077" t="s">
        <v>5680</v>
      </c>
      <c r="E1393" s="1077" t="s">
        <v>5683</v>
      </c>
      <c r="F1393" s="1185">
        <v>4</v>
      </c>
      <c r="G1393" s="1186">
        <v>9.1280000000000001</v>
      </c>
      <c r="H1393" s="1186">
        <v>2.54</v>
      </c>
      <c r="I1393" s="1186">
        <v>11.816000000000001</v>
      </c>
      <c r="J1393" s="1186">
        <v>2.95</v>
      </c>
      <c r="K1393" s="1186">
        <v>14.532</v>
      </c>
      <c r="L1393" s="1186">
        <v>3.91</v>
      </c>
      <c r="M1393" s="1186">
        <v>16.401</v>
      </c>
      <c r="N1393" s="1186">
        <v>4</v>
      </c>
      <c r="O1393" s="1186"/>
      <c r="P1393" s="1186"/>
      <c r="Q1393" s="1186">
        <v>11.173</v>
      </c>
      <c r="R1393" s="1186">
        <v>2.21</v>
      </c>
      <c r="S1393" s="1186">
        <v>15.003</v>
      </c>
      <c r="T1393" s="1186">
        <v>2.76</v>
      </c>
      <c r="U1393" s="1186"/>
      <c r="V1393" s="1186"/>
      <c r="W1393" s="1186"/>
      <c r="X1393" s="1186"/>
      <c r="Y1393" s="1186"/>
      <c r="Z1393" s="1186"/>
      <c r="AA1393" s="1186"/>
      <c r="AB1393" s="1186"/>
      <c r="AC1393" s="1186"/>
      <c r="AD1393" s="1187"/>
    </row>
    <row r="1394" spans="1:30" x14ac:dyDescent="0.2">
      <c r="A1394">
        <f t="shared" si="55"/>
        <v>36</v>
      </c>
      <c r="B1394">
        <v>1385</v>
      </c>
      <c r="C1394" s="1078">
        <v>2</v>
      </c>
      <c r="D1394" s="1077" t="s">
        <v>5680</v>
      </c>
      <c r="E1394" s="1077" t="s">
        <v>5684</v>
      </c>
      <c r="F1394" s="1185">
        <v>4</v>
      </c>
      <c r="G1394" s="1186">
        <v>21.4</v>
      </c>
      <c r="H1394" s="1186">
        <v>2.35</v>
      </c>
      <c r="I1394" s="1186">
        <v>27.5</v>
      </c>
      <c r="J1394" s="1186">
        <v>2.7</v>
      </c>
      <c r="K1394" s="1186">
        <v>35.5</v>
      </c>
      <c r="L1394" s="1186">
        <v>3.21</v>
      </c>
      <c r="M1394" s="1186">
        <v>38.6</v>
      </c>
      <c r="N1394" s="1186">
        <v>3.15</v>
      </c>
      <c r="O1394" s="1186"/>
      <c r="P1394" s="1186"/>
      <c r="Q1394" s="1186">
        <v>21.3</v>
      </c>
      <c r="R1394" s="1186">
        <v>1.72</v>
      </c>
      <c r="S1394" s="1186">
        <v>37.5</v>
      </c>
      <c r="T1394" s="1186">
        <v>2.69</v>
      </c>
      <c r="U1394" s="1186"/>
      <c r="V1394" s="1186"/>
      <c r="W1394" s="1186"/>
      <c r="X1394" s="1186"/>
      <c r="Y1394" s="1186"/>
      <c r="Z1394" s="1186"/>
      <c r="AA1394" s="1186"/>
      <c r="AB1394" s="1186"/>
      <c r="AC1394" s="1186"/>
      <c r="AD1394" s="1187"/>
    </row>
    <row r="1395" spans="1:30" x14ac:dyDescent="0.2">
      <c r="A1395">
        <f t="shared" si="55"/>
        <v>37</v>
      </c>
      <c r="B1395">
        <v>1386</v>
      </c>
      <c r="C1395" s="1078">
        <v>2</v>
      </c>
      <c r="D1395" s="1077" t="s">
        <v>4886</v>
      </c>
      <c r="E1395" s="1077" t="s">
        <v>4887</v>
      </c>
      <c r="F1395" s="1185">
        <v>4</v>
      </c>
      <c r="G1395" s="1186">
        <v>5.5</v>
      </c>
      <c r="H1395" s="1186">
        <v>1.89</v>
      </c>
      <c r="I1395" s="1186">
        <v>7.9</v>
      </c>
      <c r="J1395" s="1186">
        <v>3.26</v>
      </c>
      <c r="K1395" s="1186">
        <v>11.1</v>
      </c>
      <c r="L1395" s="1186">
        <v>4.09</v>
      </c>
      <c r="M1395" s="1186">
        <v>12.2</v>
      </c>
      <c r="N1395" s="1186">
        <v>4.41</v>
      </c>
      <c r="O1395" s="1186">
        <v>12.8</v>
      </c>
      <c r="P1395" s="1186">
        <v>6.4</v>
      </c>
      <c r="Q1395" s="1186">
        <v>7.9</v>
      </c>
      <c r="R1395" s="1186">
        <v>2.52</v>
      </c>
      <c r="S1395" s="1186">
        <v>9.5</v>
      </c>
      <c r="T1395" s="1186">
        <v>3.15</v>
      </c>
      <c r="U1395" s="1186">
        <v>12.8</v>
      </c>
      <c r="V1395" s="1186">
        <v>3.7</v>
      </c>
      <c r="W1395" s="1186"/>
      <c r="X1395" s="1186"/>
      <c r="Y1395" s="1186"/>
      <c r="Z1395" s="1186"/>
      <c r="AA1395" s="1186"/>
      <c r="AB1395" s="1186"/>
      <c r="AC1395" s="1186"/>
      <c r="AD1395" s="1187"/>
    </row>
    <row r="1396" spans="1:30" x14ac:dyDescent="0.2">
      <c r="A1396">
        <f t="shared" si="55"/>
        <v>37</v>
      </c>
      <c r="B1396">
        <v>1387</v>
      </c>
      <c r="C1396" s="1078">
        <v>2</v>
      </c>
      <c r="D1396" s="1077" t="s">
        <v>4886</v>
      </c>
      <c r="E1396" s="1077" t="s">
        <v>4888</v>
      </c>
      <c r="F1396" s="1185">
        <v>4</v>
      </c>
      <c r="G1396" s="1186">
        <v>7.9</v>
      </c>
      <c r="H1396" s="1186">
        <v>1.89</v>
      </c>
      <c r="I1396" s="1186">
        <v>11.1</v>
      </c>
      <c r="J1396" s="1186">
        <v>3.26</v>
      </c>
      <c r="K1396" s="1186">
        <v>14.8</v>
      </c>
      <c r="L1396" s="1186">
        <v>4.09</v>
      </c>
      <c r="M1396" s="1186">
        <v>17.3</v>
      </c>
      <c r="N1396" s="1186">
        <v>4.41</v>
      </c>
      <c r="O1396" s="1186">
        <v>13.7</v>
      </c>
      <c r="P1396" s="1186">
        <v>6.4</v>
      </c>
      <c r="Q1396" s="1186">
        <v>9.8000000000000007</v>
      </c>
      <c r="R1396" s="1186">
        <v>2.52</v>
      </c>
      <c r="S1396" s="1186">
        <v>14.3</v>
      </c>
      <c r="T1396" s="1186">
        <v>3.15</v>
      </c>
      <c r="U1396" s="1186">
        <v>16</v>
      </c>
      <c r="V1396" s="1186">
        <v>3.7</v>
      </c>
      <c r="W1396" s="1186"/>
      <c r="X1396" s="1186"/>
      <c r="Y1396" s="1186"/>
      <c r="Z1396" s="1186"/>
      <c r="AA1396" s="1186"/>
      <c r="AB1396" s="1186"/>
      <c r="AC1396" s="1186"/>
      <c r="AD1396" s="1187"/>
    </row>
    <row r="1397" spans="1:30" x14ac:dyDescent="0.2">
      <c r="A1397">
        <f t="shared" si="55"/>
        <v>37</v>
      </c>
      <c r="B1397">
        <v>1388</v>
      </c>
      <c r="C1397" s="1078">
        <v>2</v>
      </c>
      <c r="D1397" s="1077" t="s">
        <v>4886</v>
      </c>
      <c r="E1397" s="1077" t="s">
        <v>4889</v>
      </c>
      <c r="F1397" s="1185">
        <v>4</v>
      </c>
      <c r="G1397" s="1186">
        <v>10.4</v>
      </c>
      <c r="H1397" s="1186">
        <v>1.89</v>
      </c>
      <c r="I1397" s="1186">
        <v>13.9</v>
      </c>
      <c r="J1397" s="1186">
        <v>3.26</v>
      </c>
      <c r="K1397" s="1186">
        <v>17.2</v>
      </c>
      <c r="L1397" s="1186">
        <v>4.09</v>
      </c>
      <c r="M1397" s="1186">
        <v>18.5</v>
      </c>
      <c r="N1397" s="1186">
        <v>4.41</v>
      </c>
      <c r="O1397" s="1186">
        <v>15.4</v>
      </c>
      <c r="P1397" s="1186">
        <v>6.4</v>
      </c>
      <c r="Q1397" s="1186">
        <v>13.1</v>
      </c>
      <c r="R1397" s="1186">
        <v>2.52</v>
      </c>
      <c r="S1397" s="1186">
        <v>16.8</v>
      </c>
      <c r="T1397" s="1186">
        <v>3.15</v>
      </c>
      <c r="U1397" s="1186">
        <v>17.899999999999999</v>
      </c>
      <c r="V1397" s="1186">
        <v>3.7</v>
      </c>
      <c r="W1397" s="1186"/>
      <c r="X1397" s="1186"/>
      <c r="Y1397" s="1186"/>
      <c r="Z1397" s="1186"/>
      <c r="AA1397" s="1186"/>
      <c r="AB1397" s="1186"/>
      <c r="AC1397" s="1186"/>
      <c r="AD1397" s="1187"/>
    </row>
    <row r="1398" spans="1:30" x14ac:dyDescent="0.2">
      <c r="A1398">
        <f t="shared" si="55"/>
        <v>37</v>
      </c>
      <c r="B1398">
        <v>1389</v>
      </c>
      <c r="C1398" s="1078">
        <v>3</v>
      </c>
      <c r="D1398" s="1077" t="s">
        <v>4886</v>
      </c>
      <c r="E1398" s="1077" t="s">
        <v>4890</v>
      </c>
      <c r="F1398" s="1185">
        <v>4</v>
      </c>
      <c r="G1398" s="1186"/>
      <c r="H1398" s="1186"/>
      <c r="I1398" s="1186"/>
      <c r="J1398" s="1186"/>
      <c r="K1398" s="1186"/>
      <c r="L1398" s="1186"/>
      <c r="M1398" s="1186"/>
      <c r="N1398" s="1186"/>
      <c r="O1398" s="1186"/>
      <c r="P1398" s="1186"/>
      <c r="Q1398" s="1186"/>
      <c r="R1398" s="1186"/>
      <c r="S1398" s="1186"/>
      <c r="T1398" s="1186"/>
      <c r="U1398" s="1186"/>
      <c r="V1398" s="1186"/>
      <c r="W1398" s="1186">
        <v>12.4</v>
      </c>
      <c r="X1398" s="1186">
        <v>5.2</v>
      </c>
      <c r="Y1398" s="1186">
        <v>10.7</v>
      </c>
      <c r="Z1398" s="1186">
        <v>3.2</v>
      </c>
      <c r="AA1398" s="1186">
        <v>13.2</v>
      </c>
      <c r="AB1398" s="1186">
        <v>6.3</v>
      </c>
      <c r="AC1398" s="1186">
        <v>13.1</v>
      </c>
      <c r="AD1398" s="1187">
        <v>3.8</v>
      </c>
    </row>
    <row r="1399" spans="1:30" x14ac:dyDescent="0.2">
      <c r="A1399">
        <f t="shared" si="55"/>
        <v>37</v>
      </c>
      <c r="B1399">
        <v>1390</v>
      </c>
      <c r="C1399" s="1078">
        <v>3</v>
      </c>
      <c r="D1399" s="1077" t="s">
        <v>4886</v>
      </c>
      <c r="E1399" s="1077" t="s">
        <v>4891</v>
      </c>
      <c r="F1399" s="1185">
        <v>4</v>
      </c>
      <c r="G1399" s="1186"/>
      <c r="H1399" s="1186"/>
      <c r="I1399" s="1186"/>
      <c r="J1399" s="1186"/>
      <c r="K1399" s="1186"/>
      <c r="L1399" s="1186"/>
      <c r="M1399" s="1186"/>
      <c r="N1399" s="1186"/>
      <c r="O1399" s="1186"/>
      <c r="P1399" s="1186"/>
      <c r="Q1399" s="1186"/>
      <c r="R1399" s="1186"/>
      <c r="S1399" s="1186"/>
      <c r="T1399" s="1186"/>
      <c r="U1399" s="1186"/>
      <c r="V1399" s="1186"/>
      <c r="W1399" s="1186">
        <v>15.3</v>
      </c>
      <c r="X1399" s="1186">
        <v>5.2</v>
      </c>
      <c r="Y1399" s="1186">
        <v>13.4</v>
      </c>
      <c r="Z1399" s="1186">
        <v>3.2</v>
      </c>
      <c r="AA1399" s="1186">
        <v>16.399999999999999</v>
      </c>
      <c r="AB1399" s="1186">
        <v>6.3</v>
      </c>
      <c r="AC1399" s="1186">
        <v>16.3</v>
      </c>
      <c r="AD1399" s="1187">
        <v>3.8</v>
      </c>
    </row>
    <row r="1400" spans="1:30" x14ac:dyDescent="0.2">
      <c r="A1400">
        <f t="shared" si="55"/>
        <v>37</v>
      </c>
      <c r="B1400">
        <v>1391</v>
      </c>
      <c r="C1400" s="1078">
        <v>3</v>
      </c>
      <c r="D1400" s="1077" t="s">
        <v>4886</v>
      </c>
      <c r="E1400" s="1077" t="s">
        <v>4892</v>
      </c>
      <c r="F1400" s="1185">
        <v>4</v>
      </c>
      <c r="G1400" s="1186"/>
      <c r="H1400" s="1186"/>
      <c r="I1400" s="1186"/>
      <c r="J1400" s="1186"/>
      <c r="K1400" s="1186"/>
      <c r="L1400" s="1186"/>
      <c r="M1400" s="1186"/>
      <c r="N1400" s="1186"/>
      <c r="O1400" s="1186"/>
      <c r="P1400" s="1186"/>
      <c r="Q1400" s="1186"/>
      <c r="R1400" s="1186"/>
      <c r="S1400" s="1186"/>
      <c r="T1400" s="1186"/>
      <c r="U1400" s="1186"/>
      <c r="V1400" s="1186"/>
      <c r="W1400" s="1186">
        <v>18.3</v>
      </c>
      <c r="X1400" s="1186">
        <v>5.2</v>
      </c>
      <c r="Y1400" s="1186">
        <v>16.600000000000001</v>
      </c>
      <c r="Z1400" s="1186">
        <v>3.2</v>
      </c>
      <c r="AA1400" s="1186">
        <v>19.100000000000001</v>
      </c>
      <c r="AB1400" s="1186">
        <v>63</v>
      </c>
      <c r="AC1400" s="1186">
        <v>19</v>
      </c>
      <c r="AD1400" s="1187">
        <v>3.8</v>
      </c>
    </row>
    <row r="1401" spans="1:30" x14ac:dyDescent="0.2">
      <c r="A1401">
        <f t="shared" si="55"/>
        <v>38</v>
      </c>
      <c r="B1401">
        <v>1392</v>
      </c>
      <c r="C1401" s="1078">
        <v>2</v>
      </c>
      <c r="D1401" s="1077" t="s">
        <v>3918</v>
      </c>
      <c r="E1401" s="1077" t="s">
        <v>4250</v>
      </c>
      <c r="F1401" s="1185">
        <v>4</v>
      </c>
      <c r="G1401" s="1186"/>
      <c r="H1401" s="1186"/>
      <c r="I1401" s="1186">
        <v>6.2</v>
      </c>
      <c r="J1401" s="1186">
        <v>2.8</v>
      </c>
      <c r="K1401" s="1186">
        <v>3.9</v>
      </c>
      <c r="L1401" s="1186">
        <v>4.0999999999999996</v>
      </c>
      <c r="M1401" s="1186">
        <v>3</v>
      </c>
      <c r="N1401" s="1186">
        <v>4.8</v>
      </c>
      <c r="O1401" s="1186"/>
      <c r="P1401" s="1186"/>
      <c r="Q1401" s="1186">
        <v>5.5</v>
      </c>
      <c r="R1401" s="1186">
        <v>2.6</v>
      </c>
      <c r="S1401" s="1186">
        <v>4.5</v>
      </c>
      <c r="T1401" s="1186">
        <v>5</v>
      </c>
      <c r="U1401" s="1186"/>
      <c r="V1401" s="1186"/>
      <c r="W1401" s="1186"/>
      <c r="X1401" s="1186"/>
      <c r="Y1401" s="1186"/>
      <c r="Z1401" s="1186"/>
      <c r="AA1401" s="1186"/>
      <c r="AB1401" s="1186"/>
      <c r="AC1401" s="1186"/>
      <c r="AD1401" s="1187"/>
    </row>
    <row r="1402" spans="1:30" x14ac:dyDescent="0.2">
      <c r="A1402">
        <f t="shared" si="55"/>
        <v>38</v>
      </c>
      <c r="B1402">
        <v>1393</v>
      </c>
      <c r="C1402" s="1078">
        <v>2</v>
      </c>
      <c r="D1402" s="1077" t="s">
        <v>3918</v>
      </c>
      <c r="E1402" s="1077" t="s">
        <v>4251</v>
      </c>
      <c r="F1402" s="1185"/>
      <c r="G1402" s="1186"/>
      <c r="H1402" s="1186"/>
      <c r="I1402" s="1186">
        <v>5.5</v>
      </c>
      <c r="J1402" s="1186">
        <v>2.5</v>
      </c>
      <c r="K1402" s="1186">
        <v>4.5</v>
      </c>
      <c r="L1402" s="1186">
        <v>3.5</v>
      </c>
      <c r="M1402" s="1186">
        <v>4.5</v>
      </c>
      <c r="N1402" s="1186">
        <v>4.7</v>
      </c>
      <c r="O1402" s="1186"/>
      <c r="P1402" s="1186"/>
      <c r="Q1402" s="1186">
        <v>5</v>
      </c>
      <c r="R1402" s="1186">
        <v>1.9</v>
      </c>
      <c r="S1402" s="1186">
        <v>7.5</v>
      </c>
      <c r="T1402" s="1186">
        <v>2.6</v>
      </c>
      <c r="U1402" s="1186"/>
      <c r="V1402" s="1186"/>
      <c r="W1402" s="1186"/>
      <c r="X1402" s="1186"/>
      <c r="Y1402" s="1186"/>
      <c r="Z1402" s="1186"/>
      <c r="AA1402" s="1186"/>
      <c r="AB1402" s="1186"/>
      <c r="AC1402" s="1186"/>
      <c r="AD1402" s="1187"/>
    </row>
    <row r="1403" spans="1:30" x14ac:dyDescent="0.2">
      <c r="A1403">
        <f t="shared" si="55"/>
        <v>38</v>
      </c>
      <c r="B1403">
        <v>1394</v>
      </c>
      <c r="C1403" s="1078">
        <v>2</v>
      </c>
      <c r="D1403" s="1077" t="s">
        <v>3918</v>
      </c>
      <c r="E1403" s="1077" t="s">
        <v>4252</v>
      </c>
      <c r="F1403" s="1185"/>
      <c r="G1403" s="1186"/>
      <c r="H1403" s="1186"/>
      <c r="I1403" s="1186">
        <v>6</v>
      </c>
      <c r="J1403" s="1186">
        <v>2.5</v>
      </c>
      <c r="K1403" s="1186">
        <v>5</v>
      </c>
      <c r="L1403" s="1186">
        <v>3.5</v>
      </c>
      <c r="M1403" s="1186">
        <v>5</v>
      </c>
      <c r="N1403" s="1186">
        <v>4.7</v>
      </c>
      <c r="O1403" s="1186"/>
      <c r="P1403" s="1186"/>
      <c r="Q1403" s="1186">
        <v>5.5</v>
      </c>
      <c r="R1403" s="1186">
        <v>1.9</v>
      </c>
      <c r="S1403" s="1186">
        <v>8</v>
      </c>
      <c r="T1403" s="1186">
        <v>2.6</v>
      </c>
      <c r="U1403" s="1186"/>
      <c r="V1403" s="1186"/>
      <c r="W1403" s="1186"/>
      <c r="X1403" s="1186"/>
      <c r="Y1403" s="1186"/>
      <c r="Z1403" s="1186"/>
      <c r="AA1403" s="1186"/>
      <c r="AB1403" s="1186"/>
      <c r="AC1403" s="1186"/>
      <c r="AD1403" s="1187"/>
    </row>
    <row r="1404" spans="1:30" x14ac:dyDescent="0.2">
      <c r="A1404">
        <f t="shared" si="55"/>
        <v>38</v>
      </c>
      <c r="B1404">
        <v>1395</v>
      </c>
      <c r="C1404" s="1078">
        <v>2</v>
      </c>
      <c r="D1404" s="1077" t="s">
        <v>3918</v>
      </c>
      <c r="E1404" s="1077" t="s">
        <v>4253</v>
      </c>
      <c r="F1404" s="1185">
        <v>4</v>
      </c>
      <c r="G1404" s="1186"/>
      <c r="H1404" s="1186"/>
      <c r="I1404" s="1186">
        <v>8.4</v>
      </c>
      <c r="J1404" s="1186">
        <v>3</v>
      </c>
      <c r="K1404" s="1186">
        <v>5.0999999999999996</v>
      </c>
      <c r="L1404" s="1186">
        <v>4.3</v>
      </c>
      <c r="M1404" s="1186">
        <v>3.3</v>
      </c>
      <c r="N1404" s="1186">
        <v>4.9000000000000004</v>
      </c>
      <c r="O1404" s="1186"/>
      <c r="P1404" s="1186"/>
      <c r="Q1404" s="1186">
        <v>7.4</v>
      </c>
      <c r="R1404" s="1186">
        <v>2.2000000000000002</v>
      </c>
      <c r="S1404" s="1186">
        <v>2.8</v>
      </c>
      <c r="T1404" s="1186">
        <v>2.7</v>
      </c>
      <c r="U1404" s="1186"/>
      <c r="V1404" s="1186"/>
      <c r="W1404" s="1186"/>
      <c r="X1404" s="1186"/>
      <c r="Y1404" s="1186"/>
      <c r="Z1404" s="1186"/>
      <c r="AA1404" s="1186"/>
      <c r="AB1404" s="1186"/>
      <c r="AC1404" s="1186"/>
      <c r="AD1404" s="1187"/>
    </row>
    <row r="1405" spans="1:30" x14ac:dyDescent="0.2">
      <c r="A1405">
        <f t="shared" si="55"/>
        <v>38</v>
      </c>
      <c r="B1405">
        <v>1396</v>
      </c>
      <c r="C1405" s="1078">
        <v>2</v>
      </c>
      <c r="D1405" s="1077" t="s">
        <v>3918</v>
      </c>
      <c r="E1405" s="1077" t="s">
        <v>4254</v>
      </c>
      <c r="F1405" s="1185"/>
      <c r="G1405" s="1186"/>
      <c r="H1405" s="1186"/>
      <c r="I1405" s="1186">
        <v>7.2</v>
      </c>
      <c r="J1405" s="1186">
        <v>2.6</v>
      </c>
      <c r="K1405" s="1186">
        <v>5.2</v>
      </c>
      <c r="L1405" s="1186">
        <v>3.5</v>
      </c>
      <c r="M1405" s="1186">
        <v>5.4</v>
      </c>
      <c r="N1405" s="1186">
        <v>4.8</v>
      </c>
      <c r="O1405" s="1186"/>
      <c r="P1405" s="1186"/>
      <c r="Q1405" s="1186">
        <v>6.2</v>
      </c>
      <c r="R1405" s="1186">
        <v>2</v>
      </c>
      <c r="S1405" s="1186">
        <v>9</v>
      </c>
      <c r="T1405" s="1186">
        <v>2.7</v>
      </c>
      <c r="U1405" s="1186"/>
      <c r="V1405" s="1186"/>
      <c r="W1405" s="1186"/>
      <c r="X1405" s="1186"/>
      <c r="Y1405" s="1186"/>
      <c r="Z1405" s="1186"/>
      <c r="AA1405" s="1186"/>
      <c r="AB1405" s="1186"/>
      <c r="AC1405" s="1186"/>
      <c r="AD1405" s="1187"/>
    </row>
    <row r="1406" spans="1:30" x14ac:dyDescent="0.2">
      <c r="A1406">
        <f t="shared" si="55"/>
        <v>38</v>
      </c>
      <c r="B1406">
        <v>1397</v>
      </c>
      <c r="C1406" s="1078">
        <v>2</v>
      </c>
      <c r="D1406" s="1077" t="s">
        <v>3918</v>
      </c>
      <c r="E1406" s="1077" t="s">
        <v>4255</v>
      </c>
      <c r="F1406" s="1185">
        <v>4</v>
      </c>
      <c r="G1406" s="1186"/>
      <c r="H1406" s="1186"/>
      <c r="I1406" s="1186">
        <v>11</v>
      </c>
      <c r="J1406" s="1186">
        <v>2.9</v>
      </c>
      <c r="K1406" s="1186">
        <v>7.1</v>
      </c>
      <c r="L1406" s="1186">
        <v>4.0999999999999996</v>
      </c>
      <c r="M1406" s="1186">
        <v>5.0999999999999996</v>
      </c>
      <c r="N1406" s="1186">
        <v>4.9000000000000004</v>
      </c>
      <c r="O1406" s="1186"/>
      <c r="P1406" s="1186"/>
      <c r="Q1406" s="1186">
        <v>11</v>
      </c>
      <c r="R1406" s="1186">
        <v>2.2000000000000002</v>
      </c>
      <c r="S1406" s="1186">
        <v>4.5</v>
      </c>
      <c r="T1406" s="1186">
        <v>2.8</v>
      </c>
      <c r="U1406" s="1186"/>
      <c r="V1406" s="1186"/>
      <c r="W1406" s="1186"/>
      <c r="X1406" s="1186"/>
      <c r="Y1406" s="1186"/>
      <c r="Z1406" s="1186"/>
      <c r="AA1406" s="1186"/>
      <c r="AB1406" s="1186"/>
      <c r="AC1406" s="1186"/>
      <c r="AD1406" s="1187"/>
    </row>
    <row r="1407" spans="1:30" x14ac:dyDescent="0.2">
      <c r="A1407">
        <f t="shared" si="55"/>
        <v>38</v>
      </c>
      <c r="B1407">
        <v>1398</v>
      </c>
      <c r="C1407" s="1078">
        <v>2</v>
      </c>
      <c r="D1407" s="1077" t="s">
        <v>3918</v>
      </c>
      <c r="E1407" s="1077" t="s">
        <v>4256</v>
      </c>
      <c r="F1407" s="1185">
        <v>4</v>
      </c>
      <c r="G1407" s="1186"/>
      <c r="H1407" s="1186"/>
      <c r="I1407" s="1186">
        <v>12.5</v>
      </c>
      <c r="J1407" s="1186">
        <v>2.6</v>
      </c>
      <c r="K1407" s="1186">
        <v>7.4</v>
      </c>
      <c r="L1407" s="1186">
        <v>4</v>
      </c>
      <c r="M1407" s="1186">
        <v>4.8</v>
      </c>
      <c r="N1407" s="1186">
        <v>4.8</v>
      </c>
      <c r="O1407" s="1186"/>
      <c r="P1407" s="1186"/>
      <c r="Q1407" s="1186">
        <v>13.6</v>
      </c>
      <c r="R1407" s="1186">
        <v>2.4</v>
      </c>
      <c r="S1407" s="1186">
        <v>5.6</v>
      </c>
      <c r="T1407" s="1186">
        <v>3.1</v>
      </c>
      <c r="U1407" s="1186"/>
      <c r="V1407" s="1186"/>
      <c r="W1407" s="1186"/>
      <c r="X1407" s="1186"/>
      <c r="Y1407" s="1186"/>
      <c r="Z1407" s="1186"/>
      <c r="AA1407" s="1186"/>
      <c r="AB1407" s="1186"/>
      <c r="AC1407" s="1186"/>
      <c r="AD1407" s="1187"/>
    </row>
    <row r="1408" spans="1:30" x14ac:dyDescent="0.2">
      <c r="A1408">
        <f t="shared" si="55"/>
        <v>38</v>
      </c>
      <c r="B1408">
        <v>1399</v>
      </c>
      <c r="C1408" s="1078">
        <v>2</v>
      </c>
      <c r="D1408" s="1077" t="s">
        <v>3918</v>
      </c>
      <c r="E1408" s="1077" t="s">
        <v>4257</v>
      </c>
      <c r="F1408" s="1185"/>
      <c r="G1408" s="1186"/>
      <c r="H1408" s="1186"/>
      <c r="I1408" s="1186">
        <v>10</v>
      </c>
      <c r="J1408" s="1186">
        <v>2.7</v>
      </c>
      <c r="K1408" s="1186">
        <v>7.5</v>
      </c>
      <c r="L1408" s="1186">
        <v>3.6</v>
      </c>
      <c r="M1408" s="1186">
        <v>8.6</v>
      </c>
      <c r="N1408" s="1186">
        <v>4.4000000000000004</v>
      </c>
      <c r="O1408" s="1186"/>
      <c r="P1408" s="1186"/>
      <c r="Q1408" s="1186">
        <v>10</v>
      </c>
      <c r="R1408" s="1186">
        <v>2.1</v>
      </c>
      <c r="S1408" s="1186">
        <v>13</v>
      </c>
      <c r="T1408" s="1186">
        <v>2.7</v>
      </c>
      <c r="U1408" s="1186"/>
      <c r="V1408" s="1186"/>
      <c r="W1408" s="1186"/>
      <c r="X1408" s="1186"/>
      <c r="Y1408" s="1186"/>
      <c r="Z1408" s="1186"/>
      <c r="AA1408" s="1186"/>
      <c r="AB1408" s="1186"/>
      <c r="AC1408" s="1186"/>
      <c r="AD1408" s="1187"/>
    </row>
    <row r="1409" spans="1:30" x14ac:dyDescent="0.2">
      <c r="A1409">
        <f t="shared" si="55"/>
        <v>38</v>
      </c>
      <c r="B1409">
        <v>1400</v>
      </c>
      <c r="C1409" s="1078">
        <v>2</v>
      </c>
      <c r="D1409" s="1077" t="s">
        <v>3918</v>
      </c>
      <c r="E1409" s="1077" t="s">
        <v>4258</v>
      </c>
      <c r="F1409" s="1185"/>
      <c r="G1409" s="1186"/>
      <c r="H1409" s="1186"/>
      <c r="I1409" s="1186">
        <v>11</v>
      </c>
      <c r="J1409" s="1186">
        <v>2.7</v>
      </c>
      <c r="K1409" s="1186">
        <v>8.5</v>
      </c>
      <c r="L1409" s="1186">
        <v>3.5</v>
      </c>
      <c r="M1409" s="1186">
        <v>9.1999999999999993</v>
      </c>
      <c r="N1409" s="1186">
        <v>4.4000000000000004</v>
      </c>
      <c r="O1409" s="1186"/>
      <c r="P1409" s="1186"/>
      <c r="Q1409" s="1186">
        <v>11</v>
      </c>
      <c r="R1409" s="1186">
        <v>2.1</v>
      </c>
      <c r="S1409" s="1186">
        <v>14.1</v>
      </c>
      <c r="T1409" s="1186">
        <v>2.7</v>
      </c>
      <c r="U1409" s="1186"/>
      <c r="V1409" s="1186"/>
      <c r="W1409" s="1186"/>
      <c r="X1409" s="1186"/>
      <c r="Y1409" s="1186"/>
      <c r="Z1409" s="1186"/>
      <c r="AA1409" s="1186"/>
      <c r="AB1409" s="1186"/>
      <c r="AC1409" s="1186"/>
      <c r="AD1409" s="1187"/>
    </row>
    <row r="1410" spans="1:30" x14ac:dyDescent="0.2">
      <c r="A1410">
        <f t="shared" si="55"/>
        <v>38</v>
      </c>
      <c r="B1410">
        <v>1401</v>
      </c>
      <c r="C1410" s="1078">
        <v>2</v>
      </c>
      <c r="D1410" s="1077" t="s">
        <v>3918</v>
      </c>
      <c r="E1410" s="1077" t="s">
        <v>4259</v>
      </c>
      <c r="F1410" s="1185"/>
      <c r="G1410" s="1186"/>
      <c r="H1410" s="1186"/>
      <c r="I1410" s="1186">
        <v>12.5</v>
      </c>
      <c r="J1410" s="1186">
        <v>2.7</v>
      </c>
      <c r="K1410" s="1186">
        <v>9.5</v>
      </c>
      <c r="L1410" s="1186">
        <v>3.5</v>
      </c>
      <c r="M1410" s="1186">
        <v>9.6</v>
      </c>
      <c r="N1410" s="1186">
        <v>4.4000000000000004</v>
      </c>
      <c r="O1410" s="1186"/>
      <c r="P1410" s="1186"/>
      <c r="Q1410" s="1186">
        <v>12.7</v>
      </c>
      <c r="R1410" s="1186">
        <v>2.1</v>
      </c>
      <c r="S1410" s="1186">
        <v>15</v>
      </c>
      <c r="T1410" s="1186">
        <v>2.7</v>
      </c>
      <c r="U1410" s="1186"/>
      <c r="V1410" s="1186"/>
      <c r="W1410" s="1186"/>
      <c r="X1410" s="1186"/>
      <c r="Y1410" s="1186"/>
      <c r="Z1410" s="1186"/>
      <c r="AA1410" s="1186"/>
      <c r="AB1410" s="1186"/>
      <c r="AC1410" s="1186"/>
      <c r="AD1410" s="1187"/>
    </row>
    <row r="1411" spans="1:30" x14ac:dyDescent="0.2">
      <c r="A1411">
        <f t="shared" si="55"/>
        <v>38</v>
      </c>
      <c r="B1411">
        <v>1402</v>
      </c>
      <c r="C1411" s="1078">
        <v>3</v>
      </c>
      <c r="D1411" s="1077" t="s">
        <v>3918</v>
      </c>
      <c r="E1411" s="1077" t="s">
        <v>4260</v>
      </c>
      <c r="F1411" s="1185">
        <v>1</v>
      </c>
      <c r="G1411" s="1186"/>
      <c r="H1411" s="1186"/>
      <c r="I1411" s="1186"/>
      <c r="J1411" s="1186"/>
      <c r="K1411" s="1186"/>
      <c r="L1411" s="1186"/>
      <c r="M1411" s="1186"/>
      <c r="N1411" s="1186"/>
      <c r="O1411" s="1186"/>
      <c r="P1411" s="1186"/>
      <c r="Q1411" s="1186"/>
      <c r="R1411" s="1186"/>
      <c r="S1411" s="1186"/>
      <c r="T1411" s="1186"/>
      <c r="U1411" s="1186"/>
      <c r="V1411" s="1186"/>
      <c r="W1411" s="1186">
        <v>5.7</v>
      </c>
      <c r="X1411" s="1186">
        <v>4.4000000000000004</v>
      </c>
      <c r="Y1411" s="1186">
        <v>5.2</v>
      </c>
      <c r="Z1411" s="1186">
        <v>2.7</v>
      </c>
      <c r="AA1411" s="1186"/>
      <c r="AB1411" s="1186"/>
      <c r="AC1411" s="1186"/>
      <c r="AD1411" s="1187"/>
    </row>
    <row r="1412" spans="1:30" x14ac:dyDescent="0.2">
      <c r="A1412">
        <f t="shared" si="55"/>
        <v>38</v>
      </c>
      <c r="B1412">
        <v>1403</v>
      </c>
      <c r="C1412" s="1078">
        <v>3</v>
      </c>
      <c r="D1412" s="1077" t="s">
        <v>3918</v>
      </c>
      <c r="E1412" s="1077" t="s">
        <v>4261</v>
      </c>
      <c r="F1412" s="1185">
        <v>1</v>
      </c>
      <c r="G1412" s="1186"/>
      <c r="H1412" s="1186"/>
      <c r="I1412" s="1186"/>
      <c r="J1412" s="1186"/>
      <c r="K1412" s="1186"/>
      <c r="L1412" s="1186"/>
      <c r="M1412" s="1186"/>
      <c r="N1412" s="1186"/>
      <c r="O1412" s="1186"/>
      <c r="P1412" s="1186"/>
      <c r="Q1412" s="1186"/>
      <c r="R1412" s="1186"/>
      <c r="S1412" s="1186"/>
      <c r="T1412" s="1186"/>
      <c r="U1412" s="1186"/>
      <c r="V1412" s="1186"/>
      <c r="W1412" s="1186">
        <v>5.8</v>
      </c>
      <c r="X1412" s="1186">
        <v>4.4000000000000004</v>
      </c>
      <c r="Y1412" s="1186">
        <v>5.2</v>
      </c>
      <c r="Z1412" s="1186">
        <v>2.7</v>
      </c>
      <c r="AA1412" s="1186"/>
      <c r="AB1412" s="1186"/>
      <c r="AC1412" s="1186"/>
      <c r="AD1412" s="1187"/>
    </row>
    <row r="1413" spans="1:30" x14ac:dyDescent="0.2">
      <c r="A1413">
        <f t="shared" si="55"/>
        <v>38</v>
      </c>
      <c r="B1413">
        <v>1404</v>
      </c>
      <c r="C1413" s="1078">
        <v>3</v>
      </c>
      <c r="D1413" s="1077" t="s">
        <v>3918</v>
      </c>
      <c r="E1413" s="1077" t="s">
        <v>4262</v>
      </c>
      <c r="F1413" s="1185">
        <v>1</v>
      </c>
      <c r="G1413" s="1186"/>
      <c r="H1413" s="1186"/>
      <c r="I1413" s="1186"/>
      <c r="J1413" s="1186"/>
      <c r="K1413" s="1186"/>
      <c r="L1413" s="1186"/>
      <c r="M1413" s="1186"/>
      <c r="N1413" s="1186"/>
      <c r="O1413" s="1186"/>
      <c r="P1413" s="1186"/>
      <c r="Q1413" s="1186"/>
      <c r="R1413" s="1186"/>
      <c r="S1413" s="1186"/>
      <c r="T1413" s="1186"/>
      <c r="U1413" s="1186"/>
      <c r="V1413" s="1186"/>
      <c r="W1413" s="1186">
        <v>7.5</v>
      </c>
      <c r="X1413" s="1186">
        <v>4.5999999999999996</v>
      </c>
      <c r="Y1413" s="1186">
        <v>6.7</v>
      </c>
      <c r="Z1413" s="1186">
        <v>2.7</v>
      </c>
      <c r="AA1413" s="1186"/>
      <c r="AB1413" s="1186"/>
      <c r="AC1413" s="1186"/>
      <c r="AD1413" s="1187"/>
    </row>
    <row r="1414" spans="1:30" x14ac:dyDescent="0.2">
      <c r="A1414">
        <f t="shared" si="55"/>
        <v>38</v>
      </c>
      <c r="B1414">
        <v>1405</v>
      </c>
      <c r="C1414" s="1078">
        <v>3</v>
      </c>
      <c r="D1414" s="1077" t="s">
        <v>3918</v>
      </c>
      <c r="E1414" s="1077" t="s">
        <v>4263</v>
      </c>
      <c r="F1414" s="1185">
        <v>1</v>
      </c>
      <c r="G1414" s="1186"/>
      <c r="H1414" s="1186"/>
      <c r="I1414" s="1186"/>
      <c r="J1414" s="1186"/>
      <c r="K1414" s="1186"/>
      <c r="L1414" s="1186"/>
      <c r="M1414" s="1186"/>
      <c r="N1414" s="1186"/>
      <c r="O1414" s="1186"/>
      <c r="P1414" s="1186"/>
      <c r="Q1414" s="1186"/>
      <c r="R1414" s="1186"/>
      <c r="S1414" s="1186"/>
      <c r="T1414" s="1186"/>
      <c r="U1414" s="1186"/>
      <c r="V1414" s="1186"/>
      <c r="W1414" s="1186">
        <v>7.5</v>
      </c>
      <c r="X1414" s="1186">
        <v>4.5999999999999996</v>
      </c>
      <c r="Y1414" s="1186">
        <v>6.7</v>
      </c>
      <c r="Z1414" s="1186">
        <v>2.7</v>
      </c>
      <c r="AA1414" s="1186"/>
      <c r="AB1414" s="1186"/>
      <c r="AC1414" s="1186"/>
      <c r="AD1414" s="1187"/>
    </row>
    <row r="1415" spans="1:30" x14ac:dyDescent="0.2">
      <c r="A1415">
        <f t="shared" si="55"/>
        <v>38</v>
      </c>
      <c r="B1415">
        <v>1406</v>
      </c>
      <c r="C1415" s="1078">
        <v>3</v>
      </c>
      <c r="D1415" s="1077" t="s">
        <v>3918</v>
      </c>
      <c r="E1415" s="1077" t="s">
        <v>4264</v>
      </c>
      <c r="F1415" s="1185">
        <v>1</v>
      </c>
      <c r="G1415" s="1186"/>
      <c r="H1415" s="1186"/>
      <c r="I1415" s="1186"/>
      <c r="J1415" s="1186"/>
      <c r="K1415" s="1186"/>
      <c r="L1415" s="1186"/>
      <c r="M1415" s="1186"/>
      <c r="N1415" s="1186"/>
      <c r="O1415" s="1186"/>
      <c r="P1415" s="1186"/>
      <c r="Q1415" s="1186"/>
      <c r="R1415" s="1186"/>
      <c r="S1415" s="1186"/>
      <c r="T1415" s="1186"/>
      <c r="U1415" s="1186"/>
      <c r="V1415" s="1186"/>
      <c r="W1415" s="1186">
        <v>10.4</v>
      </c>
      <c r="X1415" s="1186">
        <v>4.8</v>
      </c>
      <c r="Y1415" s="1186">
        <v>9.4</v>
      </c>
      <c r="Z1415" s="1186">
        <v>2.9</v>
      </c>
      <c r="AA1415" s="1186"/>
      <c r="AB1415" s="1186"/>
      <c r="AC1415" s="1186"/>
      <c r="AD1415" s="1187"/>
    </row>
    <row r="1416" spans="1:30" x14ac:dyDescent="0.2">
      <c r="A1416">
        <f t="shared" si="55"/>
        <v>38</v>
      </c>
      <c r="B1416">
        <v>1407</v>
      </c>
      <c r="C1416" s="1078">
        <v>3</v>
      </c>
      <c r="D1416" s="1077" t="s">
        <v>3918</v>
      </c>
      <c r="E1416" s="1077" t="s">
        <v>4265</v>
      </c>
      <c r="F1416" s="1185">
        <v>1</v>
      </c>
      <c r="G1416" s="1186"/>
      <c r="H1416" s="1186"/>
      <c r="I1416" s="1186"/>
      <c r="J1416" s="1186"/>
      <c r="K1416" s="1186"/>
      <c r="L1416" s="1186"/>
      <c r="M1416" s="1186"/>
      <c r="N1416" s="1186"/>
      <c r="O1416" s="1186"/>
      <c r="P1416" s="1186"/>
      <c r="Q1416" s="1186"/>
      <c r="R1416" s="1186"/>
      <c r="S1416" s="1186"/>
      <c r="T1416" s="1186"/>
      <c r="U1416" s="1186"/>
      <c r="V1416" s="1186"/>
      <c r="W1416" s="1186">
        <v>10.4</v>
      </c>
      <c r="X1416" s="1186">
        <v>4.7</v>
      </c>
      <c r="Y1416" s="1186">
        <v>9.4</v>
      </c>
      <c r="Z1416" s="1186">
        <v>2.9</v>
      </c>
      <c r="AA1416" s="1186"/>
      <c r="AB1416" s="1186"/>
      <c r="AC1416" s="1186"/>
      <c r="AD1416" s="1187"/>
    </row>
    <row r="1417" spans="1:30" x14ac:dyDescent="0.2">
      <c r="A1417">
        <f t="shared" si="55"/>
        <v>38</v>
      </c>
      <c r="B1417">
        <v>1408</v>
      </c>
      <c r="C1417" s="1078">
        <v>3</v>
      </c>
      <c r="D1417" s="1077" t="s">
        <v>3918</v>
      </c>
      <c r="E1417" s="1077" t="s">
        <v>4266</v>
      </c>
      <c r="F1417" s="1185">
        <v>1</v>
      </c>
      <c r="G1417" s="1186"/>
      <c r="H1417" s="1186"/>
      <c r="I1417" s="1186"/>
      <c r="J1417" s="1186"/>
      <c r="K1417" s="1186"/>
      <c r="L1417" s="1186"/>
      <c r="M1417" s="1186"/>
      <c r="N1417" s="1186"/>
      <c r="O1417" s="1186"/>
      <c r="P1417" s="1186"/>
      <c r="Q1417" s="1186"/>
      <c r="R1417" s="1186"/>
      <c r="S1417" s="1186"/>
      <c r="T1417" s="1186"/>
      <c r="U1417" s="1186"/>
      <c r="V1417" s="1186"/>
      <c r="W1417" s="1186">
        <v>13.3</v>
      </c>
      <c r="X1417" s="1186">
        <v>4.8</v>
      </c>
      <c r="Y1417" s="1186">
        <v>11.4</v>
      </c>
      <c r="Z1417" s="1186">
        <v>2.8</v>
      </c>
      <c r="AA1417" s="1186"/>
      <c r="AB1417" s="1186"/>
      <c r="AC1417" s="1186"/>
      <c r="AD1417" s="1187"/>
    </row>
    <row r="1418" spans="1:30" x14ac:dyDescent="0.2">
      <c r="A1418">
        <f t="shared" si="55"/>
        <v>38</v>
      </c>
      <c r="B1418">
        <v>1409</v>
      </c>
      <c r="C1418" s="1078">
        <v>3</v>
      </c>
      <c r="D1418" s="1077" t="s">
        <v>3918</v>
      </c>
      <c r="E1418" s="1077" t="s">
        <v>4267</v>
      </c>
      <c r="F1418" s="1185">
        <v>1</v>
      </c>
      <c r="G1418" s="1186"/>
      <c r="H1418" s="1186"/>
      <c r="I1418" s="1186"/>
      <c r="J1418" s="1186"/>
      <c r="K1418" s="1186"/>
      <c r="L1418" s="1186"/>
      <c r="M1418" s="1186"/>
      <c r="N1418" s="1186"/>
      <c r="O1418" s="1186"/>
      <c r="P1418" s="1186"/>
      <c r="Q1418" s="1186"/>
      <c r="R1418" s="1186"/>
      <c r="S1418" s="1186"/>
      <c r="T1418" s="1186"/>
      <c r="U1418" s="1186"/>
      <c r="V1418" s="1186"/>
      <c r="W1418" s="1186">
        <v>17</v>
      </c>
      <c r="X1418" s="1186">
        <v>4.7</v>
      </c>
      <c r="Y1418" s="1186">
        <v>15.2</v>
      </c>
      <c r="Z1418" s="1186">
        <v>2.7</v>
      </c>
      <c r="AA1418" s="1186"/>
      <c r="AB1418" s="1186"/>
      <c r="AC1418" s="1186"/>
      <c r="AD1418" s="1187"/>
    </row>
    <row r="1419" spans="1:30" x14ac:dyDescent="0.2">
      <c r="A1419">
        <f t="shared" si="55"/>
        <v>38</v>
      </c>
      <c r="B1419">
        <v>1410</v>
      </c>
      <c r="C1419" s="1078">
        <v>3</v>
      </c>
      <c r="D1419" s="1077" t="s">
        <v>3918</v>
      </c>
      <c r="E1419" s="1077" t="s">
        <v>4268</v>
      </c>
      <c r="F1419" s="1185">
        <v>3</v>
      </c>
      <c r="G1419" s="1186"/>
      <c r="H1419" s="1186"/>
      <c r="I1419" s="1186"/>
      <c r="J1419" s="1186"/>
      <c r="K1419" s="1186"/>
      <c r="L1419" s="1186"/>
      <c r="M1419" s="1186"/>
      <c r="N1419" s="1186"/>
      <c r="O1419" s="1186"/>
      <c r="P1419" s="1186"/>
      <c r="Q1419" s="1186"/>
      <c r="R1419" s="1186"/>
      <c r="S1419" s="1186"/>
      <c r="T1419" s="1186"/>
      <c r="U1419" s="1186"/>
      <c r="V1419" s="1186"/>
      <c r="W1419" s="1186">
        <v>20</v>
      </c>
      <c r="X1419" s="1186">
        <v>4.3</v>
      </c>
      <c r="Y1419" s="1186">
        <v>8.6</v>
      </c>
      <c r="Z1419" s="1186">
        <v>2.4</v>
      </c>
      <c r="AA1419" s="1186"/>
      <c r="AB1419" s="1186"/>
      <c r="AC1419" s="1186"/>
      <c r="AD1419" s="1187"/>
    </row>
    <row r="1420" spans="1:30" x14ac:dyDescent="0.2">
      <c r="A1420">
        <f t="shared" ref="A1420:A1483" si="56">A1419+(D1420&lt;&gt;D1419)*1</f>
        <v>38</v>
      </c>
      <c r="B1420">
        <v>1411</v>
      </c>
      <c r="C1420" s="1078">
        <v>3</v>
      </c>
      <c r="D1420" s="1077" t="s">
        <v>3918</v>
      </c>
      <c r="E1420" s="1077" t="s">
        <v>4269</v>
      </c>
      <c r="F1420" s="1185">
        <v>3</v>
      </c>
      <c r="G1420" s="1186"/>
      <c r="H1420" s="1186"/>
      <c r="I1420" s="1186"/>
      <c r="J1420" s="1186"/>
      <c r="K1420" s="1186"/>
      <c r="L1420" s="1186"/>
      <c r="M1420" s="1186"/>
      <c r="N1420" s="1186"/>
      <c r="O1420" s="1186"/>
      <c r="P1420" s="1186"/>
      <c r="Q1420" s="1186"/>
      <c r="R1420" s="1186"/>
      <c r="S1420" s="1186"/>
      <c r="T1420" s="1186"/>
      <c r="U1420" s="1186"/>
      <c r="V1420" s="1186"/>
      <c r="W1420" s="1186">
        <v>33.799999999999997</v>
      </c>
      <c r="X1420" s="1186">
        <v>4.5</v>
      </c>
      <c r="Y1420" s="1186">
        <v>31.5</v>
      </c>
      <c r="Z1420" s="1186">
        <v>3</v>
      </c>
      <c r="AA1420" s="1186"/>
      <c r="AB1420" s="1186"/>
      <c r="AC1420" s="1186"/>
      <c r="AD1420" s="1187"/>
    </row>
    <row r="1421" spans="1:30" x14ac:dyDescent="0.2">
      <c r="A1421">
        <f t="shared" si="56"/>
        <v>38</v>
      </c>
      <c r="B1421">
        <v>1412</v>
      </c>
      <c r="C1421" s="1078">
        <v>3</v>
      </c>
      <c r="D1421" s="1077" t="s">
        <v>3918</v>
      </c>
      <c r="E1421" s="1077" t="s">
        <v>4270</v>
      </c>
      <c r="F1421" s="1185">
        <v>1</v>
      </c>
      <c r="G1421" s="1186"/>
      <c r="H1421" s="1186"/>
      <c r="I1421" s="1186"/>
      <c r="J1421" s="1186"/>
      <c r="K1421" s="1186"/>
      <c r="L1421" s="1186"/>
      <c r="M1421" s="1186"/>
      <c r="N1421" s="1186"/>
      <c r="O1421" s="1186"/>
      <c r="P1421" s="1186"/>
      <c r="Q1421" s="1186"/>
      <c r="R1421" s="1186"/>
      <c r="S1421" s="1186"/>
      <c r="T1421" s="1186"/>
      <c r="U1421" s="1186"/>
      <c r="V1421" s="1186"/>
      <c r="W1421" s="1186">
        <v>5.8</v>
      </c>
      <c r="X1421" s="1186">
        <v>4.4000000000000004</v>
      </c>
      <c r="Y1421" s="1186">
        <v>5.2</v>
      </c>
      <c r="Z1421" s="1186">
        <v>2.7</v>
      </c>
      <c r="AA1421" s="1186"/>
      <c r="AB1421" s="1186"/>
      <c r="AC1421" s="1186"/>
      <c r="AD1421" s="1187"/>
    </row>
    <row r="1422" spans="1:30" x14ac:dyDescent="0.2">
      <c r="A1422">
        <f t="shared" si="56"/>
        <v>38</v>
      </c>
      <c r="B1422">
        <v>1413</v>
      </c>
      <c r="C1422" s="1078">
        <v>3</v>
      </c>
      <c r="D1422" s="1077" t="s">
        <v>3918</v>
      </c>
      <c r="E1422" s="1077" t="s">
        <v>4271</v>
      </c>
      <c r="F1422" s="1185">
        <v>1</v>
      </c>
      <c r="G1422" s="1186"/>
      <c r="H1422" s="1186"/>
      <c r="I1422" s="1186"/>
      <c r="J1422" s="1186"/>
      <c r="K1422" s="1186"/>
      <c r="L1422" s="1186"/>
      <c r="M1422" s="1186"/>
      <c r="N1422" s="1186"/>
      <c r="O1422" s="1186"/>
      <c r="P1422" s="1186"/>
      <c r="Q1422" s="1186"/>
      <c r="R1422" s="1186"/>
      <c r="S1422" s="1186"/>
      <c r="T1422" s="1186"/>
      <c r="U1422" s="1186"/>
      <c r="V1422" s="1186"/>
      <c r="W1422" s="1186">
        <v>5.8</v>
      </c>
      <c r="X1422" s="1186">
        <v>4.4000000000000004</v>
      </c>
      <c r="Y1422" s="1186">
        <v>5.2</v>
      </c>
      <c r="Z1422" s="1186">
        <v>2.7</v>
      </c>
      <c r="AA1422" s="1186"/>
      <c r="AB1422" s="1186"/>
      <c r="AC1422" s="1186"/>
      <c r="AD1422" s="1187"/>
    </row>
    <row r="1423" spans="1:30" x14ac:dyDescent="0.2">
      <c r="A1423">
        <f t="shared" si="56"/>
        <v>38</v>
      </c>
      <c r="B1423">
        <v>1414</v>
      </c>
      <c r="C1423" s="1078">
        <v>3</v>
      </c>
      <c r="D1423" s="1077" t="s">
        <v>3918</v>
      </c>
      <c r="E1423" s="1077" t="s">
        <v>4272</v>
      </c>
      <c r="F1423" s="1185">
        <v>1</v>
      </c>
      <c r="G1423" s="1186"/>
      <c r="H1423" s="1186"/>
      <c r="I1423" s="1186"/>
      <c r="J1423" s="1186"/>
      <c r="K1423" s="1186"/>
      <c r="L1423" s="1186"/>
      <c r="M1423" s="1186"/>
      <c r="N1423" s="1186"/>
      <c r="O1423" s="1186"/>
      <c r="P1423" s="1186"/>
      <c r="Q1423" s="1186"/>
      <c r="R1423" s="1186"/>
      <c r="S1423" s="1186"/>
      <c r="T1423" s="1186"/>
      <c r="U1423" s="1186"/>
      <c r="V1423" s="1186"/>
      <c r="W1423" s="1186">
        <v>7.5</v>
      </c>
      <c r="X1423" s="1186">
        <v>4.7</v>
      </c>
      <c r="Y1423" s="1186">
        <v>6.7</v>
      </c>
      <c r="Z1423" s="1186">
        <v>2.7</v>
      </c>
      <c r="AA1423" s="1186"/>
      <c r="AB1423" s="1186"/>
      <c r="AC1423" s="1186"/>
      <c r="AD1423" s="1187"/>
    </row>
    <row r="1424" spans="1:30" x14ac:dyDescent="0.2">
      <c r="A1424">
        <f t="shared" si="56"/>
        <v>38</v>
      </c>
      <c r="B1424">
        <v>1415</v>
      </c>
      <c r="C1424" s="1078">
        <v>3</v>
      </c>
      <c r="D1424" s="1077" t="s">
        <v>3918</v>
      </c>
      <c r="E1424" s="1077" t="s">
        <v>4273</v>
      </c>
      <c r="F1424" s="1185">
        <v>1</v>
      </c>
      <c r="G1424" s="1186"/>
      <c r="H1424" s="1186"/>
      <c r="I1424" s="1186"/>
      <c r="J1424" s="1186"/>
      <c r="K1424" s="1186"/>
      <c r="L1424" s="1186"/>
      <c r="M1424" s="1186"/>
      <c r="N1424" s="1186"/>
      <c r="O1424" s="1186"/>
      <c r="P1424" s="1186"/>
      <c r="Q1424" s="1186"/>
      <c r="R1424" s="1186"/>
      <c r="S1424" s="1186"/>
      <c r="T1424" s="1186"/>
      <c r="U1424" s="1186"/>
      <c r="V1424" s="1186"/>
      <c r="W1424" s="1186">
        <v>7.5</v>
      </c>
      <c r="X1424" s="1186">
        <v>4.5999999999999996</v>
      </c>
      <c r="Y1424" s="1186">
        <v>6.7</v>
      </c>
      <c r="Z1424" s="1186">
        <v>2.7</v>
      </c>
      <c r="AA1424" s="1186"/>
      <c r="AB1424" s="1186"/>
      <c r="AC1424" s="1186"/>
      <c r="AD1424" s="1187"/>
    </row>
    <row r="1425" spans="1:30" x14ac:dyDescent="0.2">
      <c r="A1425">
        <f t="shared" si="56"/>
        <v>38</v>
      </c>
      <c r="B1425">
        <v>1416</v>
      </c>
      <c r="C1425" s="1078">
        <v>3</v>
      </c>
      <c r="D1425" s="1077" t="s">
        <v>3918</v>
      </c>
      <c r="E1425" s="1077" t="s">
        <v>4274</v>
      </c>
      <c r="F1425" s="1185">
        <v>1</v>
      </c>
      <c r="G1425" s="1186"/>
      <c r="H1425" s="1186"/>
      <c r="I1425" s="1186"/>
      <c r="J1425" s="1186"/>
      <c r="K1425" s="1186"/>
      <c r="L1425" s="1186"/>
      <c r="M1425" s="1186"/>
      <c r="N1425" s="1186"/>
      <c r="O1425" s="1186"/>
      <c r="P1425" s="1186"/>
      <c r="Q1425" s="1186"/>
      <c r="R1425" s="1186"/>
      <c r="S1425" s="1186"/>
      <c r="T1425" s="1186"/>
      <c r="U1425" s="1186"/>
      <c r="V1425" s="1186"/>
      <c r="W1425" s="1186">
        <v>10.4</v>
      </c>
      <c r="X1425" s="1186">
        <v>4.7</v>
      </c>
      <c r="Y1425" s="1186">
        <v>9.4</v>
      </c>
      <c r="Z1425" s="1186">
        <v>2.9</v>
      </c>
      <c r="AA1425" s="1186"/>
      <c r="AB1425" s="1186"/>
      <c r="AC1425" s="1186"/>
      <c r="AD1425" s="1187"/>
    </row>
    <row r="1426" spans="1:30" x14ac:dyDescent="0.2">
      <c r="A1426">
        <f t="shared" si="56"/>
        <v>38</v>
      </c>
      <c r="B1426">
        <v>1417</v>
      </c>
      <c r="C1426" s="1078">
        <v>3</v>
      </c>
      <c r="D1426" s="1077" t="s">
        <v>3918</v>
      </c>
      <c r="E1426" s="1077" t="s">
        <v>4275</v>
      </c>
      <c r="F1426" s="1185">
        <v>1</v>
      </c>
      <c r="G1426" s="1186"/>
      <c r="H1426" s="1186"/>
      <c r="I1426" s="1186"/>
      <c r="J1426" s="1186"/>
      <c r="K1426" s="1186"/>
      <c r="L1426" s="1186"/>
      <c r="M1426" s="1186"/>
      <c r="N1426" s="1186"/>
      <c r="O1426" s="1186"/>
      <c r="P1426" s="1186"/>
      <c r="Q1426" s="1186"/>
      <c r="R1426" s="1186"/>
      <c r="S1426" s="1186"/>
      <c r="T1426" s="1186"/>
      <c r="U1426" s="1186"/>
      <c r="V1426" s="1186"/>
      <c r="W1426" s="1186">
        <v>10.4</v>
      </c>
      <c r="X1426" s="1186">
        <v>4.7</v>
      </c>
      <c r="Y1426" s="1186">
        <v>9.4</v>
      </c>
      <c r="Z1426" s="1186">
        <v>2.7</v>
      </c>
      <c r="AA1426" s="1186"/>
      <c r="AB1426" s="1186"/>
      <c r="AC1426" s="1186"/>
      <c r="AD1426" s="1187"/>
    </row>
    <row r="1427" spans="1:30" x14ac:dyDescent="0.2">
      <c r="A1427">
        <f t="shared" si="56"/>
        <v>38</v>
      </c>
      <c r="B1427">
        <v>1418</v>
      </c>
      <c r="C1427" s="1078">
        <v>3</v>
      </c>
      <c r="D1427" s="1077" t="s">
        <v>3918</v>
      </c>
      <c r="E1427" s="1077" t="s">
        <v>4276</v>
      </c>
      <c r="F1427" s="1185">
        <v>1</v>
      </c>
      <c r="G1427" s="1186"/>
      <c r="H1427" s="1186"/>
      <c r="I1427" s="1186"/>
      <c r="J1427" s="1186"/>
      <c r="K1427" s="1186"/>
      <c r="L1427" s="1186"/>
      <c r="M1427" s="1186"/>
      <c r="N1427" s="1186"/>
      <c r="O1427" s="1186"/>
      <c r="P1427" s="1186"/>
      <c r="Q1427" s="1186"/>
      <c r="R1427" s="1186"/>
      <c r="S1427" s="1186"/>
      <c r="T1427" s="1186"/>
      <c r="U1427" s="1186"/>
      <c r="V1427" s="1186"/>
      <c r="W1427" s="1186">
        <v>13.3</v>
      </c>
      <c r="X1427" s="1186">
        <v>4.8</v>
      </c>
      <c r="Y1427" s="1186">
        <v>11.4</v>
      </c>
      <c r="Z1427" s="1186">
        <v>2.8</v>
      </c>
      <c r="AA1427" s="1186"/>
      <c r="AB1427" s="1186"/>
      <c r="AC1427" s="1186"/>
      <c r="AD1427" s="1187"/>
    </row>
    <row r="1428" spans="1:30" x14ac:dyDescent="0.2">
      <c r="A1428">
        <f t="shared" si="56"/>
        <v>38</v>
      </c>
      <c r="B1428">
        <v>1419</v>
      </c>
      <c r="C1428" s="1078">
        <v>3</v>
      </c>
      <c r="D1428" s="1077" t="s">
        <v>3918</v>
      </c>
      <c r="E1428" s="1077" t="s">
        <v>4277</v>
      </c>
      <c r="F1428" s="1185">
        <v>1</v>
      </c>
      <c r="G1428" s="1186"/>
      <c r="H1428" s="1186"/>
      <c r="I1428" s="1186"/>
      <c r="J1428" s="1186"/>
      <c r="K1428" s="1186"/>
      <c r="L1428" s="1186"/>
      <c r="M1428" s="1186"/>
      <c r="N1428" s="1186"/>
      <c r="O1428" s="1186"/>
      <c r="P1428" s="1186"/>
      <c r="Q1428" s="1186"/>
      <c r="R1428" s="1186"/>
      <c r="S1428" s="1186"/>
      <c r="T1428" s="1186"/>
      <c r="U1428" s="1186"/>
      <c r="V1428" s="1186"/>
      <c r="W1428" s="1186">
        <v>17</v>
      </c>
      <c r="X1428" s="1186">
        <v>4.7</v>
      </c>
      <c r="Y1428" s="1186">
        <v>15.2</v>
      </c>
      <c r="Z1428" s="1186">
        <v>2.7</v>
      </c>
      <c r="AA1428" s="1186"/>
      <c r="AB1428" s="1186"/>
      <c r="AC1428" s="1186"/>
      <c r="AD1428" s="1187"/>
    </row>
    <row r="1429" spans="1:30" x14ac:dyDescent="0.2">
      <c r="A1429">
        <f t="shared" si="56"/>
        <v>39</v>
      </c>
      <c r="B1429">
        <v>1420</v>
      </c>
      <c r="C1429" s="1078">
        <v>2</v>
      </c>
      <c r="D1429" s="1077" t="s">
        <v>4930</v>
      </c>
      <c r="E1429" s="1077" t="s">
        <v>4931</v>
      </c>
      <c r="F1429" s="1185">
        <v>4</v>
      </c>
      <c r="G1429" s="1186">
        <v>4.2569999999999997</v>
      </c>
      <c r="H1429" s="1186">
        <v>2.3243243243243241</v>
      </c>
      <c r="I1429" s="1186">
        <v>5.0999999999999996</v>
      </c>
      <c r="J1429" s="1186">
        <v>2.7127659574468086</v>
      </c>
      <c r="K1429" s="1186">
        <v>4.8</v>
      </c>
      <c r="L1429" s="1186">
        <v>3.3103448275862069</v>
      </c>
      <c r="M1429" s="1186">
        <v>5</v>
      </c>
      <c r="N1429" s="1186">
        <v>4.8543689320388346</v>
      </c>
      <c r="O1429" s="1186">
        <v>7</v>
      </c>
      <c r="P1429" s="1186">
        <v>6.5420560747663545</v>
      </c>
      <c r="Q1429" s="1186">
        <v>4.67</v>
      </c>
      <c r="R1429" s="1186">
        <v>1.6738351254480286</v>
      </c>
      <c r="S1429" s="1186">
        <v>4.3</v>
      </c>
      <c r="T1429" s="1186">
        <v>2.8289473684210527</v>
      </c>
      <c r="U1429" s="1186">
        <v>6.2460000000000004</v>
      </c>
      <c r="V1429" s="1186">
        <v>3.7013333333333338</v>
      </c>
      <c r="W1429" s="1186"/>
      <c r="X1429" s="1186"/>
      <c r="Y1429" s="1186"/>
      <c r="Z1429" s="1186"/>
      <c r="AA1429" s="1186"/>
      <c r="AB1429" s="1186"/>
      <c r="AC1429" s="1186"/>
      <c r="AD1429" s="1187"/>
    </row>
    <row r="1430" spans="1:30" x14ac:dyDescent="0.2">
      <c r="A1430">
        <f t="shared" si="56"/>
        <v>39</v>
      </c>
      <c r="B1430">
        <v>1421</v>
      </c>
      <c r="C1430" s="1078">
        <v>2</v>
      </c>
      <c r="D1430" s="1077" t="s">
        <v>4930</v>
      </c>
      <c r="E1430" s="1077" t="s">
        <v>4932</v>
      </c>
      <c r="F1430" s="1185">
        <v>4</v>
      </c>
      <c r="G1430" s="1186">
        <v>6.2468999999999992</v>
      </c>
      <c r="H1430" s="1186">
        <v>2.294545454545454</v>
      </c>
      <c r="I1430" s="1186">
        <v>7.35</v>
      </c>
      <c r="J1430" s="1186">
        <v>2.4337748344370858</v>
      </c>
      <c r="K1430" s="1186">
        <v>7</v>
      </c>
      <c r="L1430" s="1186">
        <v>2.978723404255319</v>
      </c>
      <c r="M1430" s="1186">
        <v>8</v>
      </c>
      <c r="N1430" s="1186">
        <v>4.5197740112994351</v>
      </c>
      <c r="O1430" s="1186">
        <v>11.41</v>
      </c>
      <c r="P1430" s="1186">
        <v>6.5200000000000005</v>
      </c>
      <c r="Q1430" s="1186">
        <v>5.71</v>
      </c>
      <c r="R1430" s="1186">
        <v>1.4831168831168831</v>
      </c>
      <c r="S1430" s="1186">
        <v>7.1</v>
      </c>
      <c r="T1430" s="1186">
        <v>2.806324110671937</v>
      </c>
      <c r="U1430" s="1186">
        <v>10.08</v>
      </c>
      <c r="V1430" s="1186">
        <v>3.4758620689655175</v>
      </c>
      <c r="W1430" s="1186"/>
      <c r="X1430" s="1186"/>
      <c r="Y1430" s="1186"/>
      <c r="Z1430" s="1186"/>
      <c r="AA1430" s="1186"/>
      <c r="AB1430" s="1186"/>
      <c r="AC1430" s="1186"/>
      <c r="AD1430" s="1187"/>
    </row>
    <row r="1431" spans="1:30" x14ac:dyDescent="0.2">
      <c r="A1431">
        <f t="shared" si="56"/>
        <v>39</v>
      </c>
      <c r="B1431">
        <v>1422</v>
      </c>
      <c r="C1431" s="1078">
        <v>2</v>
      </c>
      <c r="D1431" s="1077" t="s">
        <v>4930</v>
      </c>
      <c r="E1431" s="1077" t="s">
        <v>4933</v>
      </c>
      <c r="F1431" s="1185">
        <v>4</v>
      </c>
      <c r="G1431" s="1186">
        <v>6.2468999999999992</v>
      </c>
      <c r="H1431" s="1186">
        <v>2.294545454545454</v>
      </c>
      <c r="I1431" s="1186">
        <v>7.35</v>
      </c>
      <c r="J1431" s="1186">
        <v>2.4337748344370858</v>
      </c>
      <c r="K1431" s="1186">
        <v>7</v>
      </c>
      <c r="L1431" s="1186">
        <v>2.978723404255319</v>
      </c>
      <c r="M1431" s="1186">
        <v>8</v>
      </c>
      <c r="N1431" s="1186">
        <v>4.5197740112994351</v>
      </c>
      <c r="O1431" s="1186">
        <v>11.41</v>
      </c>
      <c r="P1431" s="1186">
        <v>6.5200000000000005</v>
      </c>
      <c r="Q1431" s="1186">
        <v>5.71</v>
      </c>
      <c r="R1431" s="1186">
        <v>1.4831168831168831</v>
      </c>
      <c r="S1431" s="1186">
        <v>7.1</v>
      </c>
      <c r="T1431" s="1186">
        <v>2.806324110671937</v>
      </c>
      <c r="U1431" s="1186">
        <v>10.08</v>
      </c>
      <c r="V1431" s="1186">
        <v>3.4758620689655175</v>
      </c>
      <c r="W1431" s="1186"/>
      <c r="X1431" s="1186"/>
      <c r="Y1431" s="1186"/>
      <c r="Z1431" s="1186"/>
      <c r="AA1431" s="1186"/>
      <c r="AB1431" s="1186"/>
      <c r="AC1431" s="1186"/>
      <c r="AD1431" s="1187"/>
    </row>
    <row r="1432" spans="1:30" x14ac:dyDescent="0.2">
      <c r="A1432">
        <f t="shared" si="56"/>
        <v>39</v>
      </c>
      <c r="B1432">
        <v>1423</v>
      </c>
      <c r="C1432" s="1078">
        <v>2</v>
      </c>
      <c r="D1432" s="1077" t="s">
        <v>4930</v>
      </c>
      <c r="E1432" s="1077" t="s">
        <v>4934</v>
      </c>
      <c r="F1432" s="1185">
        <v>4</v>
      </c>
      <c r="G1432" s="1186">
        <v>10.494</v>
      </c>
      <c r="H1432" s="1186">
        <v>2.2175732217573216</v>
      </c>
      <c r="I1432" s="1186">
        <v>12</v>
      </c>
      <c r="J1432" s="1186">
        <v>2.5477707006369426</v>
      </c>
      <c r="K1432" s="1186">
        <v>10.8</v>
      </c>
      <c r="L1432" s="1186">
        <v>3.2727272727272729</v>
      </c>
      <c r="M1432" s="1186">
        <v>12</v>
      </c>
      <c r="N1432" s="1186">
        <v>4.5283018867924527</v>
      </c>
      <c r="O1432" s="1186">
        <v>17.399999999999999</v>
      </c>
      <c r="P1432" s="1186">
        <v>6.8235294117647056</v>
      </c>
      <c r="Q1432" s="1186">
        <v>9.8699999999999992</v>
      </c>
      <c r="R1432" s="1186">
        <v>1.5022831050228309</v>
      </c>
      <c r="S1432" s="1186">
        <v>11.3</v>
      </c>
      <c r="T1432" s="1186">
        <v>3.0294906166219842</v>
      </c>
      <c r="U1432" s="1186">
        <v>15.075000000000001</v>
      </c>
      <c r="V1432" s="1186">
        <v>4.0200000000000005</v>
      </c>
      <c r="W1432" s="1186"/>
      <c r="X1432" s="1186"/>
      <c r="Y1432" s="1186"/>
      <c r="Z1432" s="1186"/>
      <c r="AA1432" s="1186"/>
      <c r="AB1432" s="1186"/>
      <c r="AC1432" s="1186"/>
      <c r="AD1432" s="1187"/>
    </row>
    <row r="1433" spans="1:30" x14ac:dyDescent="0.2">
      <c r="A1433">
        <f t="shared" si="56"/>
        <v>39</v>
      </c>
      <c r="B1433">
        <v>1424</v>
      </c>
      <c r="C1433" s="1078">
        <v>2</v>
      </c>
      <c r="D1433" s="1077" t="s">
        <v>4930</v>
      </c>
      <c r="E1433" s="1077" t="s">
        <v>4935</v>
      </c>
      <c r="F1433" s="1185">
        <v>4</v>
      </c>
      <c r="G1433" s="1186">
        <v>10.494</v>
      </c>
      <c r="H1433" s="1186">
        <v>2.2175732217573216</v>
      </c>
      <c r="I1433" s="1186">
        <v>12</v>
      </c>
      <c r="J1433" s="1186">
        <v>2.5477707006369426</v>
      </c>
      <c r="K1433" s="1186">
        <v>10.8</v>
      </c>
      <c r="L1433" s="1186">
        <v>3.2727272727272729</v>
      </c>
      <c r="M1433" s="1186">
        <v>12</v>
      </c>
      <c r="N1433" s="1186">
        <v>4.5283018867924527</v>
      </c>
      <c r="O1433" s="1186">
        <v>17.399999999999999</v>
      </c>
      <c r="P1433" s="1186">
        <v>6.8235294117647056</v>
      </c>
      <c r="Q1433" s="1186">
        <v>9.8699999999999992</v>
      </c>
      <c r="R1433" s="1186">
        <v>1.5022831050228309</v>
      </c>
      <c r="S1433" s="1186">
        <v>11.3</v>
      </c>
      <c r="T1433" s="1186">
        <v>3.0294906166219842</v>
      </c>
      <c r="U1433" s="1186">
        <v>15.075000000000001</v>
      </c>
      <c r="V1433" s="1186">
        <v>4.0200000000000005</v>
      </c>
      <c r="W1433" s="1186"/>
      <c r="X1433" s="1186"/>
      <c r="Y1433" s="1186"/>
      <c r="Z1433" s="1186"/>
      <c r="AA1433" s="1186"/>
      <c r="AB1433" s="1186"/>
      <c r="AC1433" s="1186"/>
      <c r="AD1433" s="1187"/>
    </row>
    <row r="1434" spans="1:30" x14ac:dyDescent="0.2">
      <c r="A1434">
        <f t="shared" si="56"/>
        <v>39</v>
      </c>
      <c r="B1434">
        <v>1425</v>
      </c>
      <c r="C1434" s="1078">
        <v>2</v>
      </c>
      <c r="D1434" s="1077" t="s">
        <v>4930</v>
      </c>
      <c r="E1434" s="1077" t="s">
        <v>4936</v>
      </c>
      <c r="F1434" s="1185">
        <v>4</v>
      </c>
      <c r="G1434" s="1186">
        <v>12.87</v>
      </c>
      <c r="H1434" s="1186">
        <v>2.1666666666666665</v>
      </c>
      <c r="I1434" s="1186">
        <v>14.6</v>
      </c>
      <c r="J1434" s="1186">
        <v>2.4333333333333331</v>
      </c>
      <c r="K1434" s="1186">
        <v>13.2</v>
      </c>
      <c r="L1434" s="1186">
        <v>2.9999999999999996</v>
      </c>
      <c r="M1434" s="1186">
        <v>16</v>
      </c>
      <c r="N1434" s="1186">
        <v>4.4198895027624312</v>
      </c>
      <c r="O1434" s="1186">
        <v>22</v>
      </c>
      <c r="P1434" s="1186">
        <v>5.7742782152230969</v>
      </c>
      <c r="Q1434" s="1186">
        <v>12.86</v>
      </c>
      <c r="R1434" s="1186">
        <v>1.6593548387096773</v>
      </c>
      <c r="S1434" s="1186">
        <v>15</v>
      </c>
      <c r="T1434" s="1186">
        <v>2.8957528957528957</v>
      </c>
      <c r="U1434" s="1186">
        <v>19.332000000000001</v>
      </c>
      <c r="V1434" s="1186">
        <v>3.2975692963752663</v>
      </c>
      <c r="W1434" s="1186"/>
      <c r="X1434" s="1186"/>
      <c r="Y1434" s="1186"/>
      <c r="Z1434" s="1186"/>
      <c r="AA1434" s="1186"/>
      <c r="AB1434" s="1186"/>
      <c r="AC1434" s="1186"/>
      <c r="AD1434" s="1187"/>
    </row>
    <row r="1435" spans="1:30" x14ac:dyDescent="0.2">
      <c r="A1435">
        <f t="shared" si="56"/>
        <v>39</v>
      </c>
      <c r="B1435">
        <v>1426</v>
      </c>
      <c r="C1435" s="1078">
        <v>2</v>
      </c>
      <c r="D1435" s="1077" t="s">
        <v>4930</v>
      </c>
      <c r="E1435" s="1077" t="s">
        <v>4937</v>
      </c>
      <c r="F1435" s="1185">
        <v>4</v>
      </c>
      <c r="G1435" s="1186">
        <v>12.87</v>
      </c>
      <c r="H1435" s="1186">
        <v>2.1666666666666665</v>
      </c>
      <c r="I1435" s="1186">
        <v>14.6</v>
      </c>
      <c r="J1435" s="1186">
        <v>2.4333333333333331</v>
      </c>
      <c r="K1435" s="1186">
        <v>13.2</v>
      </c>
      <c r="L1435" s="1186">
        <v>2.9999999999999996</v>
      </c>
      <c r="M1435" s="1186">
        <v>16</v>
      </c>
      <c r="N1435" s="1186">
        <v>4.4198895027624312</v>
      </c>
      <c r="O1435" s="1186">
        <v>22</v>
      </c>
      <c r="P1435" s="1186">
        <v>5.7742782152230969</v>
      </c>
      <c r="Q1435" s="1186">
        <v>12.86</v>
      </c>
      <c r="R1435" s="1186">
        <v>1.6593548387096773</v>
      </c>
      <c r="S1435" s="1186">
        <v>15</v>
      </c>
      <c r="T1435" s="1186">
        <v>2.8957528957528957</v>
      </c>
      <c r="U1435" s="1186">
        <v>19.332000000000001</v>
      </c>
      <c r="V1435" s="1186">
        <v>3.2975692963752663</v>
      </c>
      <c r="W1435" s="1186"/>
      <c r="X1435" s="1186"/>
      <c r="Y1435" s="1186"/>
      <c r="Z1435" s="1186"/>
      <c r="AA1435" s="1186"/>
      <c r="AB1435" s="1186"/>
      <c r="AC1435" s="1186"/>
      <c r="AD1435" s="1187"/>
    </row>
    <row r="1436" spans="1:30" x14ac:dyDescent="0.2">
      <c r="A1436">
        <f t="shared" si="56"/>
        <v>39</v>
      </c>
      <c r="B1436">
        <v>1427</v>
      </c>
      <c r="C1436" s="1078">
        <v>2</v>
      </c>
      <c r="D1436" s="1077" t="s">
        <v>4930</v>
      </c>
      <c r="E1436" s="1077" t="s">
        <v>4938</v>
      </c>
      <c r="F1436" s="1185">
        <v>4</v>
      </c>
      <c r="G1436" s="1186">
        <v>6.2468999999999992</v>
      </c>
      <c r="H1436" s="1186">
        <v>2.294545454545454</v>
      </c>
      <c r="I1436" s="1186">
        <v>7.35</v>
      </c>
      <c r="J1436" s="1186">
        <v>2.4337748344370858</v>
      </c>
      <c r="K1436" s="1186">
        <v>7</v>
      </c>
      <c r="L1436" s="1186">
        <v>2.978723404255319</v>
      </c>
      <c r="M1436" s="1186">
        <v>8</v>
      </c>
      <c r="N1436" s="1186">
        <v>4.5197740112994351</v>
      </c>
      <c r="O1436" s="1186">
        <v>11.41</v>
      </c>
      <c r="P1436" s="1186">
        <v>6.5200000000000005</v>
      </c>
      <c r="Q1436" s="1186">
        <v>5.71</v>
      </c>
      <c r="R1436" s="1186">
        <v>1.4831168831168831</v>
      </c>
      <c r="S1436" s="1186">
        <v>7.1</v>
      </c>
      <c r="T1436" s="1186">
        <v>2.806324110671937</v>
      </c>
      <c r="U1436" s="1186">
        <v>10.08</v>
      </c>
      <c r="V1436" s="1186">
        <v>3.4758620689655175</v>
      </c>
      <c r="W1436" s="1186"/>
      <c r="X1436" s="1186"/>
      <c r="Y1436" s="1186"/>
      <c r="Z1436" s="1186"/>
      <c r="AA1436" s="1186"/>
      <c r="AB1436" s="1186"/>
      <c r="AC1436" s="1186"/>
      <c r="AD1436" s="1187"/>
    </row>
    <row r="1437" spans="1:30" x14ac:dyDescent="0.2">
      <c r="A1437">
        <f t="shared" si="56"/>
        <v>39</v>
      </c>
      <c r="B1437">
        <v>1428</v>
      </c>
      <c r="C1437" s="1078">
        <v>2</v>
      </c>
      <c r="D1437" s="1077" t="s">
        <v>4930</v>
      </c>
      <c r="E1437" s="1077" t="s">
        <v>4939</v>
      </c>
      <c r="F1437" s="1185">
        <v>4</v>
      </c>
      <c r="G1437" s="1186">
        <v>10.494</v>
      </c>
      <c r="H1437" s="1186">
        <v>2.2175732217573216</v>
      </c>
      <c r="I1437" s="1186">
        <v>12</v>
      </c>
      <c r="J1437" s="1186">
        <v>2.5477707006369426</v>
      </c>
      <c r="K1437" s="1186">
        <v>10.8</v>
      </c>
      <c r="L1437" s="1186">
        <v>3.2727272727272729</v>
      </c>
      <c r="M1437" s="1186">
        <v>12</v>
      </c>
      <c r="N1437" s="1186">
        <v>4.5283018867924527</v>
      </c>
      <c r="O1437" s="1186">
        <v>17.399999999999999</v>
      </c>
      <c r="P1437" s="1186">
        <v>6.8235294117647056</v>
      </c>
      <c r="Q1437" s="1186">
        <v>9.8699999999999992</v>
      </c>
      <c r="R1437" s="1186">
        <v>1.5022831050228309</v>
      </c>
      <c r="S1437" s="1186">
        <v>11.3</v>
      </c>
      <c r="T1437" s="1186">
        <v>3.0294906166219842</v>
      </c>
      <c r="U1437" s="1186">
        <v>15.075000000000001</v>
      </c>
      <c r="V1437" s="1186">
        <v>4.0200000000000005</v>
      </c>
      <c r="W1437" s="1186"/>
      <c r="X1437" s="1186"/>
      <c r="Y1437" s="1186"/>
      <c r="Z1437" s="1186"/>
      <c r="AA1437" s="1186"/>
      <c r="AB1437" s="1186"/>
      <c r="AC1437" s="1186"/>
      <c r="AD1437" s="1187"/>
    </row>
    <row r="1438" spans="1:30" x14ac:dyDescent="0.2">
      <c r="A1438">
        <f t="shared" si="56"/>
        <v>39</v>
      </c>
      <c r="B1438">
        <v>1429</v>
      </c>
      <c r="C1438" s="1078">
        <v>2</v>
      </c>
      <c r="D1438" s="1077" t="s">
        <v>4930</v>
      </c>
      <c r="E1438" s="1077" t="s">
        <v>4940</v>
      </c>
      <c r="F1438" s="1185">
        <v>4</v>
      </c>
      <c r="G1438" s="1186">
        <v>12.87</v>
      </c>
      <c r="H1438" s="1186">
        <v>2.1666666666666665</v>
      </c>
      <c r="I1438" s="1186">
        <v>14.6</v>
      </c>
      <c r="J1438" s="1186">
        <v>2.4333333333333331</v>
      </c>
      <c r="K1438" s="1186">
        <v>13.2</v>
      </c>
      <c r="L1438" s="1186">
        <v>2.9999999999999996</v>
      </c>
      <c r="M1438" s="1186">
        <v>16</v>
      </c>
      <c r="N1438" s="1186">
        <v>4.4198895027624312</v>
      </c>
      <c r="O1438" s="1186">
        <v>22</v>
      </c>
      <c r="P1438" s="1186">
        <v>5.7742782152230969</v>
      </c>
      <c r="Q1438" s="1186">
        <v>12.86</v>
      </c>
      <c r="R1438" s="1186">
        <v>1.6593548387096773</v>
      </c>
      <c r="S1438" s="1186">
        <v>15</v>
      </c>
      <c r="T1438" s="1186">
        <v>2.8957528957528957</v>
      </c>
      <c r="U1438" s="1186">
        <v>19.332000000000001</v>
      </c>
      <c r="V1438" s="1186">
        <v>3.2975692963752663</v>
      </c>
      <c r="W1438" s="1186"/>
      <c r="X1438" s="1186"/>
      <c r="Y1438" s="1186"/>
      <c r="Z1438" s="1186"/>
      <c r="AA1438" s="1186"/>
      <c r="AB1438" s="1186"/>
      <c r="AC1438" s="1186"/>
      <c r="AD1438" s="1187"/>
    </row>
    <row r="1439" spans="1:30" x14ac:dyDescent="0.2">
      <c r="A1439">
        <f t="shared" si="56"/>
        <v>39</v>
      </c>
      <c r="B1439">
        <v>1430</v>
      </c>
      <c r="C1439" s="1078">
        <v>2</v>
      </c>
      <c r="D1439" s="1077" t="s">
        <v>4930</v>
      </c>
      <c r="E1439" s="1077" t="s">
        <v>4941</v>
      </c>
      <c r="F1439" s="1185">
        <v>4</v>
      </c>
      <c r="G1439" s="1186">
        <v>4.2569999999999997</v>
      </c>
      <c r="H1439" s="1186">
        <v>2.3243243243243241</v>
      </c>
      <c r="I1439" s="1186">
        <v>5.0999999999999996</v>
      </c>
      <c r="J1439" s="1186">
        <v>2.7127659574468086</v>
      </c>
      <c r="K1439" s="1186">
        <v>4.8</v>
      </c>
      <c r="L1439" s="1186">
        <v>3.3103448275862069</v>
      </c>
      <c r="M1439" s="1186">
        <v>5</v>
      </c>
      <c r="N1439" s="1186">
        <v>4.8543689320388346</v>
      </c>
      <c r="O1439" s="1186">
        <v>7</v>
      </c>
      <c r="P1439" s="1186">
        <v>6.5420560747663545</v>
      </c>
      <c r="Q1439" s="1186">
        <v>4.67</v>
      </c>
      <c r="R1439" s="1186">
        <v>1.6738351254480286</v>
      </c>
      <c r="S1439" s="1186">
        <v>4.3</v>
      </c>
      <c r="T1439" s="1186">
        <v>2.8289473684210527</v>
      </c>
      <c r="U1439" s="1186">
        <v>6.2460000000000004</v>
      </c>
      <c r="V1439" s="1186">
        <v>3.7013333333333338</v>
      </c>
      <c r="W1439" s="1186"/>
      <c r="X1439" s="1186"/>
      <c r="Y1439" s="1186"/>
      <c r="Z1439" s="1186"/>
      <c r="AA1439" s="1186"/>
      <c r="AB1439" s="1186"/>
      <c r="AC1439" s="1186"/>
      <c r="AD1439" s="1187"/>
    </row>
    <row r="1440" spans="1:30" x14ac:dyDescent="0.2">
      <c r="A1440">
        <f t="shared" si="56"/>
        <v>39</v>
      </c>
      <c r="B1440">
        <v>1431</v>
      </c>
      <c r="C1440" s="1078">
        <v>2</v>
      </c>
      <c r="D1440" s="1077" t="s">
        <v>4930</v>
      </c>
      <c r="E1440" s="1077" t="s">
        <v>4942</v>
      </c>
      <c r="F1440" s="1185">
        <v>4</v>
      </c>
      <c r="G1440" s="1186">
        <v>6.2468999999999992</v>
      </c>
      <c r="H1440" s="1186">
        <v>2.294545454545454</v>
      </c>
      <c r="I1440" s="1186">
        <v>7.35</v>
      </c>
      <c r="J1440" s="1186">
        <v>2.4337748344370858</v>
      </c>
      <c r="K1440" s="1186">
        <v>7</v>
      </c>
      <c r="L1440" s="1186">
        <v>2.978723404255319</v>
      </c>
      <c r="M1440" s="1186">
        <v>8</v>
      </c>
      <c r="N1440" s="1186">
        <v>4.5197740112994351</v>
      </c>
      <c r="O1440" s="1186">
        <v>11.41</v>
      </c>
      <c r="P1440" s="1186">
        <v>6.5200000000000005</v>
      </c>
      <c r="Q1440" s="1186">
        <v>5.71</v>
      </c>
      <c r="R1440" s="1186">
        <v>1.4831168831168831</v>
      </c>
      <c r="S1440" s="1186">
        <v>7.1</v>
      </c>
      <c r="T1440" s="1186">
        <v>2.806324110671937</v>
      </c>
      <c r="U1440" s="1186">
        <v>10.08</v>
      </c>
      <c r="V1440" s="1186">
        <v>3.4758620689655175</v>
      </c>
      <c r="W1440" s="1186"/>
      <c r="X1440" s="1186"/>
      <c r="Y1440" s="1186"/>
      <c r="Z1440" s="1186"/>
      <c r="AA1440" s="1186"/>
      <c r="AB1440" s="1186"/>
      <c r="AC1440" s="1186"/>
      <c r="AD1440" s="1187"/>
    </row>
    <row r="1441" spans="1:30" x14ac:dyDescent="0.2">
      <c r="A1441">
        <f t="shared" si="56"/>
        <v>39</v>
      </c>
      <c r="B1441">
        <v>1432</v>
      </c>
      <c r="C1441" s="1078">
        <v>2</v>
      </c>
      <c r="D1441" s="1077" t="s">
        <v>4930</v>
      </c>
      <c r="E1441" s="1077" t="s">
        <v>4943</v>
      </c>
      <c r="F1441" s="1185">
        <v>4</v>
      </c>
      <c r="G1441" s="1186">
        <v>10.494</v>
      </c>
      <c r="H1441" s="1186">
        <v>2.2175732217573216</v>
      </c>
      <c r="I1441" s="1186">
        <v>12</v>
      </c>
      <c r="J1441" s="1186">
        <v>2.5477707006369426</v>
      </c>
      <c r="K1441" s="1186">
        <v>10.8</v>
      </c>
      <c r="L1441" s="1186">
        <v>3.2727272727272729</v>
      </c>
      <c r="M1441" s="1186">
        <v>12</v>
      </c>
      <c r="N1441" s="1186">
        <v>4.5283018867924527</v>
      </c>
      <c r="O1441" s="1186">
        <v>17.399999999999999</v>
      </c>
      <c r="P1441" s="1186">
        <v>6.8235294117647056</v>
      </c>
      <c r="Q1441" s="1186">
        <v>9.8699999999999992</v>
      </c>
      <c r="R1441" s="1186">
        <v>1.5022831050228309</v>
      </c>
      <c r="S1441" s="1186">
        <v>11.3</v>
      </c>
      <c r="T1441" s="1186">
        <v>3.0294906166219842</v>
      </c>
      <c r="U1441" s="1186">
        <v>15.075000000000001</v>
      </c>
      <c r="V1441" s="1186">
        <v>4.0200000000000005</v>
      </c>
      <c r="W1441" s="1186"/>
      <c r="X1441" s="1186"/>
      <c r="Y1441" s="1186"/>
      <c r="Z1441" s="1186"/>
      <c r="AA1441" s="1186"/>
      <c r="AB1441" s="1186"/>
      <c r="AC1441" s="1186"/>
      <c r="AD1441" s="1187"/>
    </row>
    <row r="1442" spans="1:30" x14ac:dyDescent="0.2">
      <c r="A1442">
        <f t="shared" si="56"/>
        <v>39</v>
      </c>
      <c r="B1442">
        <v>1433</v>
      </c>
      <c r="C1442" s="1078">
        <v>2</v>
      </c>
      <c r="D1442" s="1077" t="s">
        <v>4930</v>
      </c>
      <c r="E1442" s="1077" t="s">
        <v>4944</v>
      </c>
      <c r="F1442" s="1185">
        <v>4</v>
      </c>
      <c r="G1442" s="1186">
        <v>12.87</v>
      </c>
      <c r="H1442" s="1186">
        <v>2.1666666666666665</v>
      </c>
      <c r="I1442" s="1186">
        <v>14.6</v>
      </c>
      <c r="J1442" s="1186">
        <v>2.4333333333333331</v>
      </c>
      <c r="K1442" s="1186">
        <v>13.2</v>
      </c>
      <c r="L1442" s="1186">
        <v>2.9999999999999996</v>
      </c>
      <c r="M1442" s="1186">
        <v>16</v>
      </c>
      <c r="N1442" s="1186">
        <v>4.4198895027624312</v>
      </c>
      <c r="O1442" s="1186">
        <v>22</v>
      </c>
      <c r="P1442" s="1186">
        <v>5.7742782152230969</v>
      </c>
      <c r="Q1442" s="1186">
        <v>12.86</v>
      </c>
      <c r="R1442" s="1186">
        <v>1.6593548387096773</v>
      </c>
      <c r="S1442" s="1186">
        <v>15</v>
      </c>
      <c r="T1442" s="1186">
        <v>2.8957528957528957</v>
      </c>
      <c r="U1442" s="1186">
        <v>19.332000000000001</v>
      </c>
      <c r="V1442" s="1186">
        <v>3.2975692963752663</v>
      </c>
      <c r="W1442" s="1186"/>
      <c r="X1442" s="1186"/>
      <c r="Y1442" s="1186"/>
      <c r="Z1442" s="1186"/>
      <c r="AA1442" s="1186"/>
      <c r="AB1442" s="1186"/>
      <c r="AC1442" s="1186"/>
      <c r="AD1442" s="1187"/>
    </row>
    <row r="1443" spans="1:30" x14ac:dyDescent="0.2">
      <c r="A1443">
        <f t="shared" si="56"/>
        <v>39</v>
      </c>
      <c r="B1443">
        <v>1434</v>
      </c>
      <c r="C1443" s="1078">
        <v>2</v>
      </c>
      <c r="D1443" s="1077" t="s">
        <v>4930</v>
      </c>
      <c r="E1443" s="1077" t="s">
        <v>4945</v>
      </c>
      <c r="F1443" s="1185">
        <v>4</v>
      </c>
      <c r="G1443" s="1186">
        <v>6.2468999999999992</v>
      </c>
      <c r="H1443" s="1186">
        <v>2.294545454545454</v>
      </c>
      <c r="I1443" s="1186">
        <v>7.35</v>
      </c>
      <c r="J1443" s="1186">
        <v>2.4337748344370858</v>
      </c>
      <c r="K1443" s="1186">
        <v>7</v>
      </c>
      <c r="L1443" s="1186">
        <v>2.978723404255319</v>
      </c>
      <c r="M1443" s="1186">
        <v>8</v>
      </c>
      <c r="N1443" s="1186">
        <v>4.5197740112994351</v>
      </c>
      <c r="O1443" s="1186">
        <v>11.41</v>
      </c>
      <c r="P1443" s="1186">
        <v>6.5200000000000005</v>
      </c>
      <c r="Q1443" s="1186">
        <v>5.71</v>
      </c>
      <c r="R1443" s="1186">
        <v>1.4831168831168831</v>
      </c>
      <c r="S1443" s="1186">
        <v>7.1</v>
      </c>
      <c r="T1443" s="1186">
        <v>2.806324110671937</v>
      </c>
      <c r="U1443" s="1186">
        <v>10.08</v>
      </c>
      <c r="V1443" s="1186">
        <v>3.4758620689655175</v>
      </c>
      <c r="W1443" s="1186"/>
      <c r="X1443" s="1186"/>
      <c r="Y1443" s="1186"/>
      <c r="Z1443" s="1186"/>
      <c r="AA1443" s="1186"/>
      <c r="AB1443" s="1186"/>
      <c r="AC1443" s="1186"/>
      <c r="AD1443" s="1187"/>
    </row>
    <row r="1444" spans="1:30" x14ac:dyDescent="0.2">
      <c r="A1444">
        <f t="shared" si="56"/>
        <v>39</v>
      </c>
      <c r="B1444">
        <v>1435</v>
      </c>
      <c r="C1444" s="1078">
        <v>2</v>
      </c>
      <c r="D1444" s="1077" t="s">
        <v>4930</v>
      </c>
      <c r="E1444" s="1077" t="s">
        <v>4946</v>
      </c>
      <c r="F1444" s="1185">
        <v>4</v>
      </c>
      <c r="G1444" s="1186">
        <v>10.494</v>
      </c>
      <c r="H1444" s="1186">
        <v>2.2175732217573216</v>
      </c>
      <c r="I1444" s="1186">
        <v>12</v>
      </c>
      <c r="J1444" s="1186">
        <v>2.5477707006369426</v>
      </c>
      <c r="K1444" s="1186">
        <v>10.8</v>
      </c>
      <c r="L1444" s="1186">
        <v>3.2727272727272729</v>
      </c>
      <c r="M1444" s="1186">
        <v>12</v>
      </c>
      <c r="N1444" s="1186">
        <v>4.5283018867924527</v>
      </c>
      <c r="O1444" s="1186">
        <v>17.399999999999999</v>
      </c>
      <c r="P1444" s="1186">
        <v>6.8235294117647056</v>
      </c>
      <c r="Q1444" s="1186">
        <v>9.8699999999999992</v>
      </c>
      <c r="R1444" s="1186">
        <v>1.5022831050228309</v>
      </c>
      <c r="S1444" s="1186">
        <v>11.3</v>
      </c>
      <c r="T1444" s="1186">
        <v>3.0294906166219842</v>
      </c>
      <c r="U1444" s="1186">
        <v>15.075000000000001</v>
      </c>
      <c r="V1444" s="1186">
        <v>4.0200000000000005</v>
      </c>
      <c r="W1444" s="1186"/>
      <c r="X1444" s="1186"/>
      <c r="Y1444" s="1186"/>
      <c r="Z1444" s="1186"/>
      <c r="AA1444" s="1186"/>
      <c r="AB1444" s="1186"/>
      <c r="AC1444" s="1186"/>
      <c r="AD1444" s="1187"/>
    </row>
    <row r="1445" spans="1:30" x14ac:dyDescent="0.2">
      <c r="A1445">
        <f t="shared" si="56"/>
        <v>39</v>
      </c>
      <c r="B1445">
        <v>1436</v>
      </c>
      <c r="C1445" s="1078">
        <v>2</v>
      </c>
      <c r="D1445" s="1077" t="s">
        <v>4930</v>
      </c>
      <c r="E1445" s="1077" t="s">
        <v>4947</v>
      </c>
      <c r="F1445" s="1185">
        <v>4</v>
      </c>
      <c r="G1445" s="1186">
        <v>12.87</v>
      </c>
      <c r="H1445" s="1186">
        <v>2.1666666666666665</v>
      </c>
      <c r="I1445" s="1186">
        <v>14.6</v>
      </c>
      <c r="J1445" s="1186">
        <v>2.4333333333333331</v>
      </c>
      <c r="K1445" s="1186">
        <v>13.2</v>
      </c>
      <c r="L1445" s="1186">
        <v>2.9999999999999996</v>
      </c>
      <c r="M1445" s="1186">
        <v>16</v>
      </c>
      <c r="N1445" s="1186">
        <v>4.4198895027624312</v>
      </c>
      <c r="O1445" s="1186">
        <v>22</v>
      </c>
      <c r="P1445" s="1186">
        <v>5.7742782152230969</v>
      </c>
      <c r="Q1445" s="1186">
        <v>12.86</v>
      </c>
      <c r="R1445" s="1186">
        <v>1.6593548387096773</v>
      </c>
      <c r="S1445" s="1186">
        <v>15</v>
      </c>
      <c r="T1445" s="1186">
        <v>2.8957528957528957</v>
      </c>
      <c r="U1445" s="1186">
        <v>19.332000000000001</v>
      </c>
      <c r="V1445" s="1186">
        <v>3.2975692963752663</v>
      </c>
      <c r="W1445" s="1186"/>
      <c r="X1445" s="1186"/>
      <c r="Y1445" s="1186"/>
      <c r="Z1445" s="1186"/>
      <c r="AA1445" s="1186"/>
      <c r="AB1445" s="1186"/>
      <c r="AC1445" s="1186"/>
      <c r="AD1445" s="1187"/>
    </row>
    <row r="1446" spans="1:30" x14ac:dyDescent="0.2">
      <c r="A1446">
        <f t="shared" si="56"/>
        <v>39</v>
      </c>
      <c r="B1446">
        <v>1437</v>
      </c>
      <c r="C1446" s="1078">
        <v>2</v>
      </c>
      <c r="D1446" s="1077" t="s">
        <v>4930</v>
      </c>
      <c r="E1446" s="1077" t="s">
        <v>4948</v>
      </c>
      <c r="F1446" s="1185">
        <v>4</v>
      </c>
      <c r="G1446" s="1186">
        <v>3.96</v>
      </c>
      <c r="H1446" s="1186">
        <v>2.5714285714285712</v>
      </c>
      <c r="I1446" s="1186">
        <v>4.5999999999999996</v>
      </c>
      <c r="J1446" s="1186">
        <v>2.9677419354838706</v>
      </c>
      <c r="K1446" s="1186">
        <v>4.2</v>
      </c>
      <c r="L1446" s="1186">
        <v>3.8181818181818179</v>
      </c>
      <c r="M1446" s="1186">
        <v>4.4000000000000004</v>
      </c>
      <c r="N1446" s="1186">
        <v>5.2009456264775418</v>
      </c>
      <c r="O1446" s="1186">
        <v>6.160000000000001</v>
      </c>
      <c r="P1446" s="1186">
        <v>7.0165484633569752</v>
      </c>
      <c r="Q1446" s="1186">
        <v>4.0507462686567166</v>
      </c>
      <c r="R1446" s="1186">
        <v>1.9271489818845207</v>
      </c>
      <c r="S1446" s="1186">
        <v>3.9</v>
      </c>
      <c r="T1446" s="1186">
        <v>2.9545454545454541</v>
      </c>
      <c r="U1446" s="1186">
        <v>5.3856000000000011</v>
      </c>
      <c r="V1446" s="1186">
        <v>3.8559513677811559</v>
      </c>
      <c r="W1446" s="1186"/>
      <c r="X1446" s="1186"/>
      <c r="Y1446" s="1186"/>
      <c r="Z1446" s="1186"/>
      <c r="AA1446" s="1186"/>
      <c r="AB1446" s="1186"/>
      <c r="AC1446" s="1186"/>
      <c r="AD1446" s="1187"/>
    </row>
    <row r="1447" spans="1:30" x14ac:dyDescent="0.2">
      <c r="A1447">
        <f t="shared" si="56"/>
        <v>39</v>
      </c>
      <c r="B1447">
        <v>1438</v>
      </c>
      <c r="C1447" s="1078">
        <v>2</v>
      </c>
      <c r="D1447" s="1077" t="s">
        <v>4930</v>
      </c>
      <c r="E1447" s="1077" t="s">
        <v>4949</v>
      </c>
      <c r="F1447" s="1185">
        <v>4</v>
      </c>
      <c r="G1447" s="1186">
        <v>3.96</v>
      </c>
      <c r="H1447" s="1186">
        <v>2.5714285714285712</v>
      </c>
      <c r="I1447" s="1186">
        <v>4.5999999999999996</v>
      </c>
      <c r="J1447" s="1186">
        <v>2.9677419354838706</v>
      </c>
      <c r="K1447" s="1186">
        <v>4.2</v>
      </c>
      <c r="L1447" s="1186">
        <v>3.8181818181818179</v>
      </c>
      <c r="M1447" s="1186">
        <v>4.4000000000000004</v>
      </c>
      <c r="N1447" s="1186">
        <v>5.2009456264775418</v>
      </c>
      <c r="O1447" s="1186">
        <v>6.160000000000001</v>
      </c>
      <c r="P1447" s="1186">
        <v>7.0165484633569752</v>
      </c>
      <c r="Q1447" s="1186">
        <v>4.0507462686567166</v>
      </c>
      <c r="R1447" s="1186">
        <v>1.9271489818845207</v>
      </c>
      <c r="S1447" s="1186">
        <v>3.9</v>
      </c>
      <c r="T1447" s="1186">
        <v>2.9545454545454541</v>
      </c>
      <c r="U1447" s="1186">
        <v>5.3856000000000011</v>
      </c>
      <c r="V1447" s="1186">
        <v>3.8559513677811559</v>
      </c>
      <c r="W1447" s="1186"/>
      <c r="X1447" s="1186"/>
      <c r="Y1447" s="1186"/>
      <c r="Z1447" s="1186"/>
      <c r="AA1447" s="1186"/>
      <c r="AB1447" s="1186"/>
      <c r="AC1447" s="1186"/>
      <c r="AD1447" s="1187"/>
    </row>
    <row r="1448" spans="1:30" x14ac:dyDescent="0.2">
      <c r="A1448">
        <f t="shared" si="56"/>
        <v>39</v>
      </c>
      <c r="B1448">
        <v>1439</v>
      </c>
      <c r="C1448" s="1078">
        <v>2</v>
      </c>
      <c r="D1448" s="1077" t="s">
        <v>4930</v>
      </c>
      <c r="E1448" s="1077" t="s">
        <v>4950</v>
      </c>
      <c r="F1448" s="1185">
        <v>4</v>
      </c>
      <c r="G1448" s="1186">
        <v>4.95</v>
      </c>
      <c r="H1448" s="1186">
        <v>2.38</v>
      </c>
      <c r="I1448" s="1186">
        <v>5.5</v>
      </c>
      <c r="J1448" s="1186">
        <v>2.75</v>
      </c>
      <c r="K1448" s="1186">
        <v>5.2</v>
      </c>
      <c r="L1448" s="1186">
        <v>3.5135135135135136</v>
      </c>
      <c r="M1448" s="1186">
        <v>6</v>
      </c>
      <c r="N1448" s="1186">
        <v>4.918032786885246</v>
      </c>
      <c r="O1448" s="1186">
        <v>8.4</v>
      </c>
      <c r="P1448" s="1186">
        <v>6.6348733233979136</v>
      </c>
      <c r="Q1448" s="1186">
        <v>4.8432835820895521</v>
      </c>
      <c r="R1448" s="1186">
        <v>1.7045842217484006</v>
      </c>
      <c r="S1448" s="1186">
        <v>4.8</v>
      </c>
      <c r="T1448" s="1186">
        <v>2.6519337016574585</v>
      </c>
      <c r="U1448" s="1186">
        <v>7.3440000000000003</v>
      </c>
      <c r="V1448" s="1186">
        <v>3.6462014051522251</v>
      </c>
      <c r="W1448" s="1186"/>
      <c r="X1448" s="1186"/>
      <c r="Y1448" s="1186"/>
      <c r="Z1448" s="1186"/>
      <c r="AA1448" s="1186"/>
      <c r="AB1448" s="1186"/>
      <c r="AC1448" s="1186"/>
      <c r="AD1448" s="1187"/>
    </row>
    <row r="1449" spans="1:30" x14ac:dyDescent="0.2">
      <c r="A1449">
        <f t="shared" si="56"/>
        <v>39</v>
      </c>
      <c r="B1449">
        <v>1440</v>
      </c>
      <c r="C1449" s="1078">
        <v>2</v>
      </c>
      <c r="D1449" s="1077" t="s">
        <v>4930</v>
      </c>
      <c r="E1449" s="1077" t="s">
        <v>4951</v>
      </c>
      <c r="F1449" s="1185">
        <v>4</v>
      </c>
      <c r="G1449" s="1186">
        <v>4.95</v>
      </c>
      <c r="H1449" s="1186">
        <v>2.38</v>
      </c>
      <c r="I1449" s="1186">
        <v>5.5</v>
      </c>
      <c r="J1449" s="1186">
        <v>2.75</v>
      </c>
      <c r="K1449" s="1186">
        <v>5.2</v>
      </c>
      <c r="L1449" s="1186">
        <v>3.5135135135135136</v>
      </c>
      <c r="M1449" s="1186">
        <v>6</v>
      </c>
      <c r="N1449" s="1186">
        <v>4.918032786885246</v>
      </c>
      <c r="O1449" s="1186">
        <v>8.4</v>
      </c>
      <c r="P1449" s="1186">
        <v>6.6348733233979136</v>
      </c>
      <c r="Q1449" s="1186">
        <v>4.8432835820895521</v>
      </c>
      <c r="R1449" s="1186">
        <v>1.7045842217484006</v>
      </c>
      <c r="S1449" s="1186">
        <v>4.8</v>
      </c>
      <c r="T1449" s="1186">
        <v>2.6519337016574585</v>
      </c>
      <c r="U1449" s="1186">
        <v>7.3440000000000003</v>
      </c>
      <c r="V1449" s="1186">
        <v>3.6462014051522251</v>
      </c>
      <c r="W1449" s="1186"/>
      <c r="X1449" s="1186"/>
      <c r="Y1449" s="1186"/>
      <c r="Z1449" s="1186"/>
      <c r="AA1449" s="1186"/>
      <c r="AB1449" s="1186"/>
      <c r="AC1449" s="1186"/>
      <c r="AD1449" s="1187"/>
    </row>
    <row r="1450" spans="1:30" x14ac:dyDescent="0.2">
      <c r="A1450">
        <f t="shared" si="56"/>
        <v>39</v>
      </c>
      <c r="B1450">
        <v>1441</v>
      </c>
      <c r="C1450" s="1078">
        <v>2</v>
      </c>
      <c r="D1450" s="1077" t="s">
        <v>4930</v>
      </c>
      <c r="E1450" s="1077" t="s">
        <v>4952</v>
      </c>
      <c r="F1450" s="1185">
        <v>4</v>
      </c>
      <c r="G1450" s="1186">
        <v>7.2764999999999995</v>
      </c>
      <c r="H1450" s="1186">
        <v>2.5099999999999998</v>
      </c>
      <c r="I1450" s="1186">
        <v>7.9</v>
      </c>
      <c r="J1450" s="1186">
        <v>2.7241379310344831</v>
      </c>
      <c r="K1450" s="1186">
        <v>7.7</v>
      </c>
      <c r="L1450" s="1186">
        <v>3.4070796460176993</v>
      </c>
      <c r="M1450" s="1186">
        <v>9</v>
      </c>
      <c r="N1450" s="1186">
        <v>4.8128342245989302</v>
      </c>
      <c r="O1450" s="1186">
        <v>12.6</v>
      </c>
      <c r="P1450" s="1186">
        <v>6.4929508993680107</v>
      </c>
      <c r="Q1450" s="1186">
        <v>6.9567164179104486</v>
      </c>
      <c r="R1450" s="1186">
        <v>1.6885536491300774</v>
      </c>
      <c r="S1450" s="1186">
        <v>8</v>
      </c>
      <c r="T1450" s="1186">
        <v>2.9304029304029302</v>
      </c>
      <c r="U1450" s="1186">
        <v>11.015999999999998</v>
      </c>
      <c r="V1450" s="1186">
        <v>3.5682077922077915</v>
      </c>
      <c r="W1450" s="1186"/>
      <c r="X1450" s="1186"/>
      <c r="Y1450" s="1186"/>
      <c r="Z1450" s="1186"/>
      <c r="AA1450" s="1186"/>
      <c r="AB1450" s="1186"/>
      <c r="AC1450" s="1186"/>
      <c r="AD1450" s="1187"/>
    </row>
    <row r="1451" spans="1:30" x14ac:dyDescent="0.2">
      <c r="A1451">
        <f t="shared" si="56"/>
        <v>39</v>
      </c>
      <c r="B1451">
        <v>1442</v>
      </c>
      <c r="C1451" s="1078">
        <v>2</v>
      </c>
      <c r="D1451" s="1077" t="s">
        <v>4930</v>
      </c>
      <c r="E1451" s="1077" t="s">
        <v>4953</v>
      </c>
      <c r="F1451" s="1185">
        <v>4</v>
      </c>
      <c r="G1451" s="1186">
        <v>7.2764999999999995</v>
      </c>
      <c r="H1451" s="1186">
        <v>2.5099999999999998</v>
      </c>
      <c r="I1451" s="1186">
        <v>7.9</v>
      </c>
      <c r="J1451" s="1186">
        <v>2.7241379310344831</v>
      </c>
      <c r="K1451" s="1186">
        <v>7.7</v>
      </c>
      <c r="L1451" s="1186">
        <v>3.4070796460176993</v>
      </c>
      <c r="M1451" s="1186">
        <v>9</v>
      </c>
      <c r="N1451" s="1186">
        <v>4.8128342245989302</v>
      </c>
      <c r="O1451" s="1186">
        <v>12.6</v>
      </c>
      <c r="P1451" s="1186">
        <v>6.4929508993680107</v>
      </c>
      <c r="Q1451" s="1186">
        <v>6.9567164179104486</v>
      </c>
      <c r="R1451" s="1186">
        <v>1.6885536491300774</v>
      </c>
      <c r="S1451" s="1186">
        <v>8</v>
      </c>
      <c r="T1451" s="1186">
        <v>2.9304029304029302</v>
      </c>
      <c r="U1451" s="1186">
        <v>11.015999999999998</v>
      </c>
      <c r="V1451" s="1186">
        <v>3.5682077922077915</v>
      </c>
      <c r="W1451" s="1186"/>
      <c r="X1451" s="1186"/>
      <c r="Y1451" s="1186"/>
      <c r="Z1451" s="1186"/>
      <c r="AA1451" s="1186"/>
      <c r="AB1451" s="1186"/>
      <c r="AC1451" s="1186"/>
      <c r="AD1451" s="1187"/>
    </row>
    <row r="1452" spans="1:30" x14ac:dyDescent="0.2">
      <c r="A1452">
        <f t="shared" si="56"/>
        <v>39</v>
      </c>
      <c r="B1452">
        <v>1443</v>
      </c>
      <c r="C1452" s="1078">
        <v>2</v>
      </c>
      <c r="D1452" s="1077" t="s">
        <v>4930</v>
      </c>
      <c r="E1452" s="1077" t="s">
        <v>4954</v>
      </c>
      <c r="F1452" s="1185">
        <v>4</v>
      </c>
      <c r="G1452" s="1186">
        <v>7.2764999999999995</v>
      </c>
      <c r="H1452" s="1186">
        <v>2.5099999999999998</v>
      </c>
      <c r="I1452" s="1186">
        <v>7.9</v>
      </c>
      <c r="J1452" s="1186">
        <v>2.7241379310344831</v>
      </c>
      <c r="K1452" s="1186">
        <v>7.7</v>
      </c>
      <c r="L1452" s="1186">
        <v>3.4070796460176993</v>
      </c>
      <c r="M1452" s="1186">
        <v>9</v>
      </c>
      <c r="N1452" s="1186">
        <v>4.8128342245989302</v>
      </c>
      <c r="O1452" s="1186">
        <v>12.6</v>
      </c>
      <c r="P1452" s="1186">
        <v>6.4929508993680107</v>
      </c>
      <c r="Q1452" s="1186">
        <v>6.9567164179104486</v>
      </c>
      <c r="R1452" s="1186">
        <v>1.6885536491300774</v>
      </c>
      <c r="S1452" s="1186">
        <v>8</v>
      </c>
      <c r="T1452" s="1186">
        <v>2.9304029304029302</v>
      </c>
      <c r="U1452" s="1186">
        <v>11.015999999999998</v>
      </c>
      <c r="V1452" s="1186">
        <v>3.5682077922077915</v>
      </c>
      <c r="W1452" s="1186"/>
      <c r="X1452" s="1186"/>
      <c r="Y1452" s="1186"/>
      <c r="Z1452" s="1186"/>
      <c r="AA1452" s="1186"/>
      <c r="AB1452" s="1186"/>
      <c r="AC1452" s="1186"/>
      <c r="AD1452" s="1187"/>
    </row>
    <row r="1453" spans="1:30" x14ac:dyDescent="0.2">
      <c r="A1453">
        <f t="shared" si="56"/>
        <v>39</v>
      </c>
      <c r="B1453">
        <v>1444</v>
      </c>
      <c r="C1453" s="1078">
        <v>2</v>
      </c>
      <c r="D1453" s="1077" t="s">
        <v>4930</v>
      </c>
      <c r="E1453" s="1077" t="s">
        <v>4955</v>
      </c>
      <c r="F1453" s="1185">
        <v>4</v>
      </c>
      <c r="G1453" s="1186">
        <v>3.96</v>
      </c>
      <c r="H1453" s="1186">
        <v>2.5714285714285712</v>
      </c>
      <c r="I1453" s="1186">
        <v>4.5999999999999996</v>
      </c>
      <c r="J1453" s="1186">
        <v>2.9677419354838706</v>
      </c>
      <c r="K1453" s="1186">
        <v>4.2</v>
      </c>
      <c r="L1453" s="1186">
        <v>3.8181818181818179</v>
      </c>
      <c r="M1453" s="1186">
        <v>4.4000000000000004</v>
      </c>
      <c r="N1453" s="1186">
        <v>5.2009456264775418</v>
      </c>
      <c r="O1453" s="1186">
        <v>6.160000000000001</v>
      </c>
      <c r="P1453" s="1186">
        <v>7.0165484633569752</v>
      </c>
      <c r="Q1453" s="1186">
        <v>4.0507462686567166</v>
      </c>
      <c r="R1453" s="1186">
        <v>1.9271489818845207</v>
      </c>
      <c r="S1453" s="1186">
        <v>3.9</v>
      </c>
      <c r="T1453" s="1186">
        <v>2.9545454545454541</v>
      </c>
      <c r="U1453" s="1186">
        <v>5.3856000000000011</v>
      </c>
      <c r="V1453" s="1186">
        <v>3.8559513677811559</v>
      </c>
      <c r="W1453" s="1186"/>
      <c r="X1453" s="1186"/>
      <c r="Y1453" s="1186"/>
      <c r="Z1453" s="1186"/>
      <c r="AA1453" s="1186"/>
      <c r="AB1453" s="1186"/>
      <c r="AC1453" s="1186"/>
      <c r="AD1453" s="1187"/>
    </row>
    <row r="1454" spans="1:30" x14ac:dyDescent="0.2">
      <c r="A1454">
        <f t="shared" si="56"/>
        <v>39</v>
      </c>
      <c r="B1454">
        <v>1445</v>
      </c>
      <c r="C1454" s="1078">
        <v>2</v>
      </c>
      <c r="D1454" s="1077" t="s">
        <v>4930</v>
      </c>
      <c r="E1454" s="1077" t="s">
        <v>4956</v>
      </c>
      <c r="F1454" s="1185">
        <v>4</v>
      </c>
      <c r="G1454" s="1186">
        <v>4.95</v>
      </c>
      <c r="H1454" s="1186">
        <v>2.38</v>
      </c>
      <c r="I1454" s="1186">
        <v>5.5</v>
      </c>
      <c r="J1454" s="1186">
        <v>2.75</v>
      </c>
      <c r="K1454" s="1186">
        <v>5.2</v>
      </c>
      <c r="L1454" s="1186">
        <v>3.5135135135135136</v>
      </c>
      <c r="M1454" s="1186">
        <v>6</v>
      </c>
      <c r="N1454" s="1186">
        <v>4.918032786885246</v>
      </c>
      <c r="O1454" s="1186">
        <v>8.4</v>
      </c>
      <c r="P1454" s="1186">
        <v>6.6348733233979136</v>
      </c>
      <c r="Q1454" s="1186">
        <v>4.8432835820895521</v>
      </c>
      <c r="R1454" s="1186">
        <v>1.7045842217484006</v>
      </c>
      <c r="S1454" s="1186">
        <v>4.8</v>
      </c>
      <c r="T1454" s="1186">
        <v>2.6519337016574585</v>
      </c>
      <c r="U1454" s="1186">
        <v>7.3440000000000003</v>
      </c>
      <c r="V1454" s="1186">
        <v>3.6462014051522251</v>
      </c>
      <c r="W1454" s="1186"/>
      <c r="X1454" s="1186"/>
      <c r="Y1454" s="1186"/>
      <c r="Z1454" s="1186"/>
      <c r="AA1454" s="1186"/>
      <c r="AB1454" s="1186"/>
      <c r="AC1454" s="1186"/>
      <c r="AD1454" s="1187"/>
    </row>
    <row r="1455" spans="1:30" x14ac:dyDescent="0.2">
      <c r="A1455">
        <f t="shared" si="56"/>
        <v>39</v>
      </c>
      <c r="B1455">
        <v>1446</v>
      </c>
      <c r="C1455" s="1078">
        <v>2</v>
      </c>
      <c r="D1455" s="1077" t="s">
        <v>4930</v>
      </c>
      <c r="E1455" s="1077" t="s">
        <v>4957</v>
      </c>
      <c r="F1455" s="1185">
        <v>4</v>
      </c>
      <c r="G1455" s="1186">
        <v>7.2764999999999995</v>
      </c>
      <c r="H1455" s="1186">
        <v>2.5099999999999998</v>
      </c>
      <c r="I1455" s="1186">
        <v>7.9</v>
      </c>
      <c r="J1455" s="1186">
        <v>2.7241379310344831</v>
      </c>
      <c r="K1455" s="1186">
        <v>7.7</v>
      </c>
      <c r="L1455" s="1186">
        <v>3.4070796460176993</v>
      </c>
      <c r="M1455" s="1186">
        <v>9</v>
      </c>
      <c r="N1455" s="1186">
        <v>4.8128342245989302</v>
      </c>
      <c r="O1455" s="1186">
        <v>12.6</v>
      </c>
      <c r="P1455" s="1186">
        <v>6.4929508993680107</v>
      </c>
      <c r="Q1455" s="1186">
        <v>6.9567164179104486</v>
      </c>
      <c r="R1455" s="1186">
        <v>1.6885536491300774</v>
      </c>
      <c r="S1455" s="1186">
        <v>8</v>
      </c>
      <c r="T1455" s="1186">
        <v>2.9304029304029302</v>
      </c>
      <c r="U1455" s="1186">
        <v>11.015999999999998</v>
      </c>
      <c r="V1455" s="1186">
        <v>3.5682077922077915</v>
      </c>
      <c r="W1455" s="1186"/>
      <c r="X1455" s="1186"/>
      <c r="Y1455" s="1186"/>
      <c r="Z1455" s="1186"/>
      <c r="AA1455" s="1186"/>
      <c r="AB1455" s="1186"/>
      <c r="AC1455" s="1186"/>
      <c r="AD1455" s="1187"/>
    </row>
    <row r="1456" spans="1:30" x14ac:dyDescent="0.2">
      <c r="A1456">
        <f t="shared" si="56"/>
        <v>39</v>
      </c>
      <c r="B1456">
        <v>1447</v>
      </c>
      <c r="C1456" s="1078">
        <v>2</v>
      </c>
      <c r="D1456" s="1077" t="s">
        <v>4930</v>
      </c>
      <c r="E1456" s="1077" t="s">
        <v>4954</v>
      </c>
      <c r="F1456" s="1185">
        <v>4</v>
      </c>
      <c r="G1456" s="1186">
        <v>7.2764999999999995</v>
      </c>
      <c r="H1456" s="1186">
        <v>2.5099999999999998</v>
      </c>
      <c r="I1456" s="1186">
        <v>7.9</v>
      </c>
      <c r="J1456" s="1186">
        <v>2.7241379310344831</v>
      </c>
      <c r="K1456" s="1186">
        <v>7.7</v>
      </c>
      <c r="L1456" s="1186">
        <v>3.4070796460176993</v>
      </c>
      <c r="M1456" s="1186">
        <v>9</v>
      </c>
      <c r="N1456" s="1186">
        <v>4.8128342245989302</v>
      </c>
      <c r="O1456" s="1186">
        <v>12.6</v>
      </c>
      <c r="P1456" s="1186">
        <v>6.4929508993680107</v>
      </c>
      <c r="Q1456" s="1186">
        <v>6.9567164179104486</v>
      </c>
      <c r="R1456" s="1186">
        <v>1.6885536491300774</v>
      </c>
      <c r="S1456" s="1186">
        <v>8</v>
      </c>
      <c r="T1456" s="1186">
        <v>2.9304029304029302</v>
      </c>
      <c r="U1456" s="1186">
        <v>11.015999999999998</v>
      </c>
      <c r="V1456" s="1186">
        <v>3.5682077922077915</v>
      </c>
      <c r="W1456" s="1186"/>
      <c r="X1456" s="1186"/>
      <c r="Y1456" s="1186"/>
      <c r="Z1456" s="1186"/>
      <c r="AA1456" s="1186"/>
      <c r="AB1456" s="1186"/>
      <c r="AC1456" s="1186"/>
      <c r="AD1456" s="1187"/>
    </row>
    <row r="1457" spans="1:30" x14ac:dyDescent="0.2">
      <c r="A1457">
        <f t="shared" si="56"/>
        <v>39</v>
      </c>
      <c r="B1457">
        <v>1448</v>
      </c>
      <c r="C1457" s="1078">
        <v>2</v>
      </c>
      <c r="D1457" s="1077" t="s">
        <v>4930</v>
      </c>
      <c r="E1457" s="1077" t="s">
        <v>4958</v>
      </c>
      <c r="F1457" s="1185">
        <v>4</v>
      </c>
      <c r="G1457" s="1186">
        <v>9.44</v>
      </c>
      <c r="H1457" s="1186">
        <v>2.09</v>
      </c>
      <c r="I1457" s="1186">
        <v>8.59</v>
      </c>
      <c r="J1457" s="1186">
        <v>2.08</v>
      </c>
      <c r="K1457" s="1186">
        <v>10.15</v>
      </c>
      <c r="L1457" s="1186">
        <v>3.15</v>
      </c>
      <c r="M1457" s="1186">
        <v>12</v>
      </c>
      <c r="N1457" s="1186">
        <v>4.63</v>
      </c>
      <c r="O1457" s="1186">
        <v>16.13</v>
      </c>
      <c r="P1457" s="1186">
        <v>5.19</v>
      </c>
      <c r="Q1457" s="1186">
        <v>7.12</v>
      </c>
      <c r="R1457" s="1186">
        <v>1.34</v>
      </c>
      <c r="S1457" s="1186">
        <v>11</v>
      </c>
      <c r="T1457" s="1186">
        <v>2.9</v>
      </c>
      <c r="U1457" s="1186">
        <v>13.46</v>
      </c>
      <c r="V1457" s="1186">
        <v>2.92</v>
      </c>
      <c r="W1457" s="1186"/>
      <c r="X1457" s="1186"/>
      <c r="Y1457" s="1186"/>
      <c r="Z1457" s="1186"/>
      <c r="AA1457" s="1186"/>
      <c r="AB1457" s="1186"/>
      <c r="AC1457" s="1186"/>
      <c r="AD1457" s="1187"/>
    </row>
    <row r="1458" spans="1:30" x14ac:dyDescent="0.2">
      <c r="A1458">
        <f t="shared" si="56"/>
        <v>39</v>
      </c>
      <c r="B1458">
        <v>1449</v>
      </c>
      <c r="C1458" s="1078">
        <v>2</v>
      </c>
      <c r="D1458" s="1077" t="s">
        <v>4930</v>
      </c>
      <c r="E1458" s="1077" t="s">
        <v>4959</v>
      </c>
      <c r="F1458" s="1185">
        <v>4</v>
      </c>
      <c r="G1458" s="1186">
        <v>9.44</v>
      </c>
      <c r="H1458" s="1186">
        <v>2.09</v>
      </c>
      <c r="I1458" s="1186">
        <v>8.59</v>
      </c>
      <c r="J1458" s="1186">
        <v>2.08</v>
      </c>
      <c r="K1458" s="1186">
        <v>10.15</v>
      </c>
      <c r="L1458" s="1186">
        <v>3.15</v>
      </c>
      <c r="M1458" s="1186">
        <v>12</v>
      </c>
      <c r="N1458" s="1186">
        <v>4.63</v>
      </c>
      <c r="O1458" s="1186">
        <v>16.13</v>
      </c>
      <c r="P1458" s="1186">
        <v>5.19</v>
      </c>
      <c r="Q1458" s="1186">
        <v>7.12</v>
      </c>
      <c r="R1458" s="1186">
        <v>1.34</v>
      </c>
      <c r="S1458" s="1186">
        <v>11</v>
      </c>
      <c r="T1458" s="1186">
        <v>2.9</v>
      </c>
      <c r="U1458" s="1186">
        <v>13.46</v>
      </c>
      <c r="V1458" s="1186">
        <v>2.92</v>
      </c>
      <c r="W1458" s="1186"/>
      <c r="X1458" s="1186"/>
      <c r="Y1458" s="1186"/>
      <c r="Z1458" s="1186"/>
      <c r="AA1458" s="1186"/>
      <c r="AB1458" s="1186"/>
      <c r="AC1458" s="1186"/>
      <c r="AD1458" s="1187"/>
    </row>
    <row r="1459" spans="1:30" x14ac:dyDescent="0.2">
      <c r="A1459">
        <f t="shared" si="56"/>
        <v>39</v>
      </c>
      <c r="B1459">
        <v>1450</v>
      </c>
      <c r="C1459" s="1078">
        <v>2</v>
      </c>
      <c r="D1459" s="1077" t="s">
        <v>4930</v>
      </c>
      <c r="E1459" s="1077" t="s">
        <v>4960</v>
      </c>
      <c r="F1459" s="1185">
        <v>4</v>
      </c>
      <c r="G1459" s="1186">
        <v>12.28</v>
      </c>
      <c r="H1459" s="1186">
        <v>1.96</v>
      </c>
      <c r="I1459" s="1186">
        <v>10.49</v>
      </c>
      <c r="J1459" s="1186">
        <v>1.9</v>
      </c>
      <c r="K1459" s="1186">
        <v>12.64</v>
      </c>
      <c r="L1459" s="1186">
        <v>2.95</v>
      </c>
      <c r="M1459" s="1186">
        <v>16</v>
      </c>
      <c r="N1459" s="1186">
        <v>4.26</v>
      </c>
      <c r="O1459" s="1186">
        <v>21.5</v>
      </c>
      <c r="P1459" s="1186">
        <v>4.71</v>
      </c>
      <c r="Q1459" s="1186">
        <v>8.6999999999999993</v>
      </c>
      <c r="R1459" s="1186">
        <v>1.23</v>
      </c>
      <c r="S1459" s="1186">
        <v>14.6</v>
      </c>
      <c r="T1459" s="1186">
        <v>2.74</v>
      </c>
      <c r="U1459" s="1186">
        <v>17.940000000000001</v>
      </c>
      <c r="V1459" s="1186">
        <v>2.6</v>
      </c>
      <c r="W1459" s="1186"/>
      <c r="X1459" s="1186"/>
      <c r="Y1459" s="1186"/>
      <c r="Z1459" s="1186"/>
      <c r="AA1459" s="1186"/>
      <c r="AB1459" s="1186"/>
      <c r="AC1459" s="1186"/>
      <c r="AD1459" s="1187"/>
    </row>
    <row r="1460" spans="1:30" x14ac:dyDescent="0.2">
      <c r="A1460">
        <f t="shared" si="56"/>
        <v>39</v>
      </c>
      <c r="B1460">
        <v>1451</v>
      </c>
      <c r="C1460" s="1078">
        <v>2</v>
      </c>
      <c r="D1460" s="1077" t="s">
        <v>4930</v>
      </c>
      <c r="E1460" s="1077" t="s">
        <v>4961</v>
      </c>
      <c r="F1460" s="1185">
        <v>4</v>
      </c>
      <c r="G1460" s="1186">
        <v>12.28</v>
      </c>
      <c r="H1460" s="1186">
        <v>1.96</v>
      </c>
      <c r="I1460" s="1186">
        <v>10.49</v>
      </c>
      <c r="J1460" s="1186">
        <v>1.9</v>
      </c>
      <c r="K1460" s="1186">
        <v>12.64</v>
      </c>
      <c r="L1460" s="1186">
        <v>2.95</v>
      </c>
      <c r="M1460" s="1186">
        <v>16</v>
      </c>
      <c r="N1460" s="1186">
        <v>4.26</v>
      </c>
      <c r="O1460" s="1186">
        <v>21.5</v>
      </c>
      <c r="P1460" s="1186">
        <v>4.71</v>
      </c>
      <c r="Q1460" s="1186">
        <v>8.6999999999999993</v>
      </c>
      <c r="R1460" s="1186">
        <v>1.23</v>
      </c>
      <c r="S1460" s="1186">
        <v>14.6</v>
      </c>
      <c r="T1460" s="1186">
        <v>2.74</v>
      </c>
      <c r="U1460" s="1186">
        <v>17.940000000000001</v>
      </c>
      <c r="V1460" s="1186">
        <v>2.6</v>
      </c>
      <c r="W1460" s="1186"/>
      <c r="X1460" s="1186"/>
      <c r="Y1460" s="1186"/>
      <c r="Z1460" s="1186"/>
      <c r="AA1460" s="1186"/>
      <c r="AB1460" s="1186"/>
      <c r="AC1460" s="1186"/>
      <c r="AD1460" s="1187"/>
    </row>
    <row r="1461" spans="1:30" x14ac:dyDescent="0.2">
      <c r="A1461">
        <f t="shared" si="56"/>
        <v>39</v>
      </c>
      <c r="B1461">
        <v>1452</v>
      </c>
      <c r="C1461" s="1078">
        <v>2</v>
      </c>
      <c r="D1461" s="1077" t="s">
        <v>4930</v>
      </c>
      <c r="E1461" s="1077" t="s">
        <v>4962</v>
      </c>
      <c r="F1461" s="1185">
        <v>4</v>
      </c>
      <c r="G1461" s="1186">
        <v>3.74</v>
      </c>
      <c r="H1461" s="1186">
        <v>2.33</v>
      </c>
      <c r="I1461" s="1186">
        <v>3.74</v>
      </c>
      <c r="J1461" s="1186">
        <v>2.81</v>
      </c>
      <c r="K1461" s="1186">
        <v>4</v>
      </c>
      <c r="L1461" s="1186">
        <v>3.54</v>
      </c>
      <c r="M1461" s="1186">
        <v>4.4000000000000004</v>
      </c>
      <c r="N1461" s="1186">
        <v>4.7300000000000004</v>
      </c>
      <c r="O1461" s="1186">
        <v>6.16</v>
      </c>
      <c r="P1461" s="1186">
        <v>6.35</v>
      </c>
      <c r="Q1461" s="1186">
        <v>3.3</v>
      </c>
      <c r="R1461" s="1186">
        <v>1.92</v>
      </c>
      <c r="S1461" s="1186">
        <v>3.83</v>
      </c>
      <c r="T1461" s="1186">
        <v>2.8</v>
      </c>
      <c r="U1461" s="1186">
        <v>5.39</v>
      </c>
      <c r="V1461" s="1186">
        <v>3.5</v>
      </c>
      <c r="W1461" s="1186"/>
      <c r="X1461" s="1186"/>
      <c r="Y1461" s="1186"/>
      <c r="Z1461" s="1186"/>
      <c r="AA1461" s="1186"/>
      <c r="AB1461" s="1186"/>
      <c r="AC1461" s="1186"/>
      <c r="AD1461" s="1187"/>
    </row>
    <row r="1462" spans="1:30" x14ac:dyDescent="0.2">
      <c r="A1462">
        <f t="shared" si="56"/>
        <v>39</v>
      </c>
      <c r="B1462">
        <v>1453</v>
      </c>
      <c r="C1462" s="1078">
        <v>2</v>
      </c>
      <c r="D1462" s="1077" t="s">
        <v>4930</v>
      </c>
      <c r="E1462" s="1077" t="s">
        <v>4963</v>
      </c>
      <c r="F1462" s="1185">
        <v>4</v>
      </c>
      <c r="G1462" s="1186">
        <v>3.74</v>
      </c>
      <c r="H1462" s="1186">
        <v>2.33</v>
      </c>
      <c r="I1462" s="1186">
        <v>3.74</v>
      </c>
      <c r="J1462" s="1186">
        <v>2.81</v>
      </c>
      <c r="K1462" s="1186">
        <v>4</v>
      </c>
      <c r="L1462" s="1186">
        <v>3.54</v>
      </c>
      <c r="M1462" s="1186">
        <v>4.4000000000000004</v>
      </c>
      <c r="N1462" s="1186">
        <v>4.7300000000000004</v>
      </c>
      <c r="O1462" s="1186">
        <v>6.16</v>
      </c>
      <c r="P1462" s="1186">
        <v>6.35</v>
      </c>
      <c r="Q1462" s="1186">
        <v>3.3</v>
      </c>
      <c r="R1462" s="1186">
        <v>1.92</v>
      </c>
      <c r="S1462" s="1186">
        <v>3.83</v>
      </c>
      <c r="T1462" s="1186">
        <v>2.8</v>
      </c>
      <c r="U1462" s="1186">
        <v>5.39</v>
      </c>
      <c r="V1462" s="1186">
        <v>3.5</v>
      </c>
      <c r="W1462" s="1186"/>
      <c r="X1462" s="1186"/>
      <c r="Y1462" s="1186"/>
      <c r="Z1462" s="1186"/>
      <c r="AA1462" s="1186"/>
      <c r="AB1462" s="1186"/>
      <c r="AC1462" s="1186"/>
      <c r="AD1462" s="1187"/>
    </row>
    <row r="1463" spans="1:30" x14ac:dyDescent="0.2">
      <c r="A1463">
        <f t="shared" si="56"/>
        <v>39</v>
      </c>
      <c r="B1463">
        <v>1454</v>
      </c>
      <c r="C1463" s="1078">
        <v>2</v>
      </c>
      <c r="D1463" s="1077" t="s">
        <v>4930</v>
      </c>
      <c r="E1463" s="1077" t="s">
        <v>4964</v>
      </c>
      <c r="F1463" s="1185">
        <v>4</v>
      </c>
      <c r="G1463" s="1186">
        <v>5.61</v>
      </c>
      <c r="H1463" s="1186">
        <v>2.2200000000000002</v>
      </c>
      <c r="I1463" s="1186">
        <v>5.47</v>
      </c>
      <c r="J1463" s="1186">
        <v>2.79</v>
      </c>
      <c r="K1463" s="1186">
        <v>5.8</v>
      </c>
      <c r="L1463" s="1186">
        <v>3.31</v>
      </c>
      <c r="M1463" s="1186">
        <v>6.6</v>
      </c>
      <c r="N1463" s="1186">
        <v>4.49</v>
      </c>
      <c r="O1463" s="1186">
        <v>9.24</v>
      </c>
      <c r="P1463" s="1186">
        <v>6.04</v>
      </c>
      <c r="Q1463" s="1186">
        <v>4.0199999999999996</v>
      </c>
      <c r="R1463" s="1186">
        <v>1.76</v>
      </c>
      <c r="S1463" s="1186">
        <v>4.8</v>
      </c>
      <c r="T1463" s="1186">
        <v>2.6</v>
      </c>
      <c r="U1463" s="1186">
        <v>8.08</v>
      </c>
      <c r="V1463" s="1186">
        <v>3.33</v>
      </c>
      <c r="W1463" s="1186"/>
      <c r="X1463" s="1186"/>
      <c r="Y1463" s="1186"/>
      <c r="Z1463" s="1186"/>
      <c r="AA1463" s="1186"/>
      <c r="AB1463" s="1186"/>
      <c r="AC1463" s="1186"/>
      <c r="AD1463" s="1187"/>
    </row>
    <row r="1464" spans="1:30" x14ac:dyDescent="0.2">
      <c r="A1464">
        <f t="shared" si="56"/>
        <v>39</v>
      </c>
      <c r="B1464">
        <v>1455</v>
      </c>
      <c r="C1464" s="1078">
        <v>2</v>
      </c>
      <c r="D1464" s="1077" t="s">
        <v>4930</v>
      </c>
      <c r="E1464" s="1077" t="s">
        <v>4965</v>
      </c>
      <c r="F1464" s="1185">
        <v>4</v>
      </c>
      <c r="G1464" s="1186">
        <v>5.61</v>
      </c>
      <c r="H1464" s="1186">
        <v>2.2200000000000002</v>
      </c>
      <c r="I1464" s="1186">
        <v>5.47</v>
      </c>
      <c r="J1464" s="1186">
        <v>2.79</v>
      </c>
      <c r="K1464" s="1186">
        <v>5.8</v>
      </c>
      <c r="L1464" s="1186">
        <v>3.31</v>
      </c>
      <c r="M1464" s="1186">
        <v>6.6</v>
      </c>
      <c r="N1464" s="1186">
        <v>4.49</v>
      </c>
      <c r="O1464" s="1186">
        <v>9.24</v>
      </c>
      <c r="P1464" s="1186">
        <v>6.04</v>
      </c>
      <c r="Q1464" s="1186">
        <v>4.0199999999999996</v>
      </c>
      <c r="R1464" s="1186">
        <v>1.76</v>
      </c>
      <c r="S1464" s="1186">
        <v>4.8</v>
      </c>
      <c r="T1464" s="1186">
        <v>2.6</v>
      </c>
      <c r="U1464" s="1186">
        <v>8.08</v>
      </c>
      <c r="V1464" s="1186">
        <v>3.33</v>
      </c>
      <c r="W1464" s="1186"/>
      <c r="X1464" s="1186"/>
      <c r="Y1464" s="1186"/>
      <c r="Z1464" s="1186"/>
      <c r="AA1464" s="1186"/>
      <c r="AB1464" s="1186"/>
      <c r="AC1464" s="1186"/>
      <c r="AD1464" s="1187"/>
    </row>
    <row r="1465" spans="1:30" x14ac:dyDescent="0.2">
      <c r="A1465">
        <f t="shared" si="56"/>
        <v>39</v>
      </c>
      <c r="B1465">
        <v>1456</v>
      </c>
      <c r="C1465" s="1078">
        <v>2</v>
      </c>
      <c r="D1465" s="1077" t="s">
        <v>4930</v>
      </c>
      <c r="E1465" s="1077" t="s">
        <v>4966</v>
      </c>
      <c r="F1465" s="1185">
        <v>4</v>
      </c>
      <c r="G1465" s="1186">
        <v>7.65</v>
      </c>
      <c r="H1465" s="1186">
        <v>2.1</v>
      </c>
      <c r="I1465" s="1186">
        <v>7.1</v>
      </c>
      <c r="J1465" s="1186">
        <v>2.8</v>
      </c>
      <c r="K1465" s="1186">
        <v>7.7</v>
      </c>
      <c r="L1465" s="1186">
        <v>3.47</v>
      </c>
      <c r="M1465" s="1186">
        <v>9</v>
      </c>
      <c r="N1465" s="1186">
        <v>4.25</v>
      </c>
      <c r="O1465" s="1186">
        <v>12.6</v>
      </c>
      <c r="P1465" s="1186">
        <v>5.73</v>
      </c>
      <c r="Q1465" s="1186">
        <v>6.26</v>
      </c>
      <c r="R1465" s="1186">
        <v>1.9</v>
      </c>
      <c r="S1465" s="1186">
        <v>7.66</v>
      </c>
      <c r="T1465" s="1186">
        <v>2.72</v>
      </c>
      <c r="U1465" s="1186">
        <v>11.02</v>
      </c>
      <c r="V1465" s="1186">
        <v>3.15</v>
      </c>
      <c r="W1465" s="1186"/>
      <c r="X1465" s="1186"/>
      <c r="Y1465" s="1186"/>
      <c r="Z1465" s="1186"/>
      <c r="AA1465" s="1186"/>
      <c r="AB1465" s="1186"/>
      <c r="AC1465" s="1186"/>
      <c r="AD1465" s="1187"/>
    </row>
    <row r="1466" spans="1:30" x14ac:dyDescent="0.2">
      <c r="A1466">
        <f t="shared" si="56"/>
        <v>39</v>
      </c>
      <c r="B1466">
        <v>1457</v>
      </c>
      <c r="C1466" s="1078">
        <v>2</v>
      </c>
      <c r="D1466" s="1077" t="s">
        <v>4930</v>
      </c>
      <c r="E1466" s="1077" t="s">
        <v>4967</v>
      </c>
      <c r="F1466" s="1185">
        <v>4</v>
      </c>
      <c r="G1466" s="1186">
        <v>7.65</v>
      </c>
      <c r="H1466" s="1186">
        <v>2.1</v>
      </c>
      <c r="I1466" s="1186">
        <v>7.1</v>
      </c>
      <c r="J1466" s="1186">
        <v>2.8</v>
      </c>
      <c r="K1466" s="1186">
        <v>7.7</v>
      </c>
      <c r="L1466" s="1186">
        <v>3.47</v>
      </c>
      <c r="M1466" s="1186">
        <v>9</v>
      </c>
      <c r="N1466" s="1186">
        <v>4.25</v>
      </c>
      <c r="O1466" s="1186">
        <v>12.6</v>
      </c>
      <c r="P1466" s="1186">
        <v>5.73</v>
      </c>
      <c r="Q1466" s="1186">
        <v>6.26</v>
      </c>
      <c r="R1466" s="1186">
        <v>1.9</v>
      </c>
      <c r="S1466" s="1186">
        <v>7.66</v>
      </c>
      <c r="T1466" s="1186">
        <v>2.72</v>
      </c>
      <c r="U1466" s="1186">
        <v>11.02</v>
      </c>
      <c r="V1466" s="1186">
        <v>3.15</v>
      </c>
      <c r="W1466" s="1186"/>
      <c r="X1466" s="1186"/>
      <c r="Y1466" s="1186"/>
      <c r="Z1466" s="1186"/>
      <c r="AA1466" s="1186"/>
      <c r="AB1466" s="1186"/>
      <c r="AC1466" s="1186"/>
      <c r="AD1466" s="1187"/>
    </row>
    <row r="1467" spans="1:30" x14ac:dyDescent="0.2">
      <c r="A1467">
        <f t="shared" si="56"/>
        <v>39</v>
      </c>
      <c r="B1467">
        <v>1458</v>
      </c>
      <c r="C1467" s="1078">
        <v>2</v>
      </c>
      <c r="D1467" s="1077" t="s">
        <v>4930</v>
      </c>
      <c r="E1467" s="1077" t="s">
        <v>4968</v>
      </c>
      <c r="F1467" s="1185">
        <v>4</v>
      </c>
      <c r="G1467" s="1186">
        <v>10.199999999999999</v>
      </c>
      <c r="H1467" s="1186">
        <v>2.1800000000000002</v>
      </c>
      <c r="I1467" s="1186">
        <v>10.18</v>
      </c>
      <c r="J1467" s="1186">
        <v>2.97</v>
      </c>
      <c r="K1467" s="1186">
        <v>11</v>
      </c>
      <c r="L1467" s="1186">
        <v>3.41</v>
      </c>
      <c r="M1467" s="1186">
        <v>12</v>
      </c>
      <c r="N1467" s="1186">
        <v>4.41</v>
      </c>
      <c r="O1467" s="1186">
        <v>16.8</v>
      </c>
      <c r="P1467" s="1186">
        <v>5.96</v>
      </c>
      <c r="Q1467" s="1186">
        <v>8.9600000000000009</v>
      </c>
      <c r="R1467" s="1186">
        <v>2.02</v>
      </c>
      <c r="S1467" s="1186">
        <v>10.72</v>
      </c>
      <c r="T1467" s="1186">
        <v>2.74</v>
      </c>
      <c r="U1467" s="1186">
        <v>14.69</v>
      </c>
      <c r="V1467" s="1186">
        <v>3.27</v>
      </c>
      <c r="W1467" s="1186"/>
      <c r="X1467" s="1186"/>
      <c r="Y1467" s="1186"/>
      <c r="Z1467" s="1186"/>
      <c r="AA1467" s="1186"/>
      <c r="AB1467" s="1186"/>
      <c r="AC1467" s="1186"/>
      <c r="AD1467" s="1187"/>
    </row>
    <row r="1468" spans="1:30" x14ac:dyDescent="0.2">
      <c r="A1468">
        <f t="shared" si="56"/>
        <v>39</v>
      </c>
      <c r="B1468">
        <v>1459</v>
      </c>
      <c r="C1468" s="1078">
        <v>2</v>
      </c>
      <c r="D1468" s="1077" t="s">
        <v>4930</v>
      </c>
      <c r="E1468" s="1077" t="s">
        <v>4969</v>
      </c>
      <c r="F1468" s="1185">
        <v>4</v>
      </c>
      <c r="G1468" s="1186">
        <v>13.28</v>
      </c>
      <c r="H1468" s="1186">
        <v>1.96</v>
      </c>
      <c r="I1468" s="1186">
        <v>13.44</v>
      </c>
      <c r="J1468" s="1186">
        <v>2.73</v>
      </c>
      <c r="K1468" s="1186">
        <v>13.7</v>
      </c>
      <c r="L1468" s="1186">
        <v>3.19</v>
      </c>
      <c r="M1468" s="1186">
        <v>16</v>
      </c>
      <c r="N1468" s="1186">
        <v>4.05</v>
      </c>
      <c r="O1468" s="1186">
        <v>22.4</v>
      </c>
      <c r="P1468" s="1186">
        <v>5.46</v>
      </c>
      <c r="Q1468" s="1186">
        <v>11.84</v>
      </c>
      <c r="R1468" s="1186">
        <v>1.87</v>
      </c>
      <c r="S1468" s="1186">
        <v>14.6</v>
      </c>
      <c r="T1468" s="1186">
        <v>2.74</v>
      </c>
      <c r="U1468" s="1186">
        <v>19.579999999999998</v>
      </c>
      <c r="V1468" s="1186">
        <v>3</v>
      </c>
      <c r="W1468" s="1186"/>
      <c r="X1468" s="1186"/>
      <c r="Y1468" s="1186"/>
      <c r="Z1468" s="1186"/>
      <c r="AA1468" s="1186"/>
      <c r="AB1468" s="1186"/>
      <c r="AC1468" s="1186"/>
      <c r="AD1468" s="1187"/>
    </row>
    <row r="1469" spans="1:30" x14ac:dyDescent="0.2">
      <c r="A1469">
        <f t="shared" si="56"/>
        <v>39</v>
      </c>
      <c r="B1469">
        <v>1460</v>
      </c>
      <c r="C1469" s="1078">
        <v>2</v>
      </c>
      <c r="D1469" s="1077" t="s">
        <v>4930</v>
      </c>
      <c r="E1469" s="1077" t="s">
        <v>4970</v>
      </c>
      <c r="F1469" s="1185">
        <v>4</v>
      </c>
      <c r="G1469" s="1186">
        <v>13.28</v>
      </c>
      <c r="H1469" s="1186">
        <v>2.1</v>
      </c>
      <c r="I1469" s="1186">
        <v>7.1</v>
      </c>
      <c r="J1469" s="1186">
        <v>2.8</v>
      </c>
      <c r="K1469" s="1186">
        <v>7.7</v>
      </c>
      <c r="L1469" s="1186">
        <v>3.47</v>
      </c>
      <c r="M1469" s="1186">
        <v>9</v>
      </c>
      <c r="N1469" s="1186">
        <v>4.25</v>
      </c>
      <c r="O1469" s="1186">
        <v>12.6</v>
      </c>
      <c r="P1469" s="1186">
        <v>5.73</v>
      </c>
      <c r="Q1469" s="1186">
        <v>6.26</v>
      </c>
      <c r="R1469" s="1186">
        <v>1.9</v>
      </c>
      <c r="S1469" s="1186">
        <v>7.66</v>
      </c>
      <c r="T1469" s="1186">
        <v>2.72</v>
      </c>
      <c r="U1469" s="1186">
        <v>11.02</v>
      </c>
      <c r="V1469" s="1186">
        <v>3.15</v>
      </c>
      <c r="W1469" s="1186"/>
      <c r="X1469" s="1186"/>
      <c r="Y1469" s="1186"/>
      <c r="Z1469" s="1186"/>
      <c r="AA1469" s="1186"/>
      <c r="AB1469" s="1186"/>
      <c r="AC1469" s="1186"/>
      <c r="AD1469" s="1187"/>
    </row>
    <row r="1470" spans="1:30" x14ac:dyDescent="0.2">
      <c r="A1470">
        <f t="shared" si="56"/>
        <v>39</v>
      </c>
      <c r="B1470">
        <v>1461</v>
      </c>
      <c r="C1470" s="1078">
        <v>2</v>
      </c>
      <c r="D1470" s="1077" t="s">
        <v>4930</v>
      </c>
      <c r="E1470" s="1077" t="s">
        <v>4971</v>
      </c>
      <c r="F1470" s="1185">
        <v>4</v>
      </c>
      <c r="G1470" s="1186">
        <v>7.65</v>
      </c>
      <c r="H1470" s="1186">
        <v>2.1</v>
      </c>
      <c r="I1470" s="1186">
        <v>7.1</v>
      </c>
      <c r="J1470" s="1186">
        <v>2.8</v>
      </c>
      <c r="K1470" s="1186">
        <v>7.7</v>
      </c>
      <c r="L1470" s="1186">
        <v>3.47</v>
      </c>
      <c r="M1470" s="1186">
        <v>9</v>
      </c>
      <c r="N1470" s="1186">
        <v>4.25</v>
      </c>
      <c r="O1470" s="1186">
        <v>12.6</v>
      </c>
      <c r="P1470" s="1186">
        <v>5.73</v>
      </c>
      <c r="Q1470" s="1186">
        <v>6.26</v>
      </c>
      <c r="R1470" s="1186">
        <v>1.9</v>
      </c>
      <c r="S1470" s="1186">
        <v>7.66</v>
      </c>
      <c r="T1470" s="1186">
        <v>2.72</v>
      </c>
      <c r="U1470" s="1186">
        <v>11.02</v>
      </c>
      <c r="V1470" s="1186">
        <v>3.15</v>
      </c>
      <c r="W1470" s="1186"/>
      <c r="X1470" s="1186"/>
      <c r="Y1470" s="1186"/>
      <c r="Z1470" s="1186"/>
      <c r="AA1470" s="1186"/>
      <c r="AB1470" s="1186"/>
      <c r="AC1470" s="1186"/>
      <c r="AD1470" s="1187"/>
    </row>
    <row r="1471" spans="1:30" x14ac:dyDescent="0.2">
      <c r="A1471">
        <f t="shared" si="56"/>
        <v>39</v>
      </c>
      <c r="B1471">
        <v>1462</v>
      </c>
      <c r="C1471" s="1078">
        <v>2</v>
      </c>
      <c r="D1471" s="1077" t="s">
        <v>4930</v>
      </c>
      <c r="E1471" s="1077" t="s">
        <v>4972</v>
      </c>
      <c r="F1471" s="1185">
        <v>4</v>
      </c>
      <c r="G1471" s="1186">
        <v>10.199999999999999</v>
      </c>
      <c r="H1471" s="1186">
        <v>2.1800000000000002</v>
      </c>
      <c r="I1471" s="1186">
        <v>10.18</v>
      </c>
      <c r="J1471" s="1186">
        <v>2.97</v>
      </c>
      <c r="K1471" s="1186">
        <v>11</v>
      </c>
      <c r="L1471" s="1186">
        <v>3.41</v>
      </c>
      <c r="M1471" s="1186">
        <v>12</v>
      </c>
      <c r="N1471" s="1186">
        <v>4.41</v>
      </c>
      <c r="O1471" s="1186">
        <v>16.8</v>
      </c>
      <c r="P1471" s="1186">
        <v>5.96</v>
      </c>
      <c r="Q1471" s="1186">
        <v>8.9600000000000009</v>
      </c>
      <c r="R1471" s="1186">
        <v>2.02</v>
      </c>
      <c r="S1471" s="1186">
        <v>10.72</v>
      </c>
      <c r="T1471" s="1186">
        <v>2.74</v>
      </c>
      <c r="U1471" s="1186">
        <v>14.69</v>
      </c>
      <c r="V1471" s="1186">
        <v>3.27</v>
      </c>
      <c r="W1471" s="1186"/>
      <c r="X1471" s="1186"/>
      <c r="Y1471" s="1186"/>
      <c r="Z1471" s="1186"/>
      <c r="AA1471" s="1186"/>
      <c r="AB1471" s="1186"/>
      <c r="AC1471" s="1186"/>
      <c r="AD1471" s="1187"/>
    </row>
    <row r="1472" spans="1:30" x14ac:dyDescent="0.2">
      <c r="A1472">
        <f t="shared" si="56"/>
        <v>39</v>
      </c>
      <c r="B1472">
        <v>1463</v>
      </c>
      <c r="C1472" s="1078">
        <v>2</v>
      </c>
      <c r="D1472" s="1077" t="s">
        <v>4930</v>
      </c>
      <c r="E1472" s="1077" t="s">
        <v>4973</v>
      </c>
      <c r="F1472" s="1185">
        <v>4</v>
      </c>
      <c r="G1472" s="1186">
        <v>13.28</v>
      </c>
      <c r="H1472" s="1186">
        <v>1.96</v>
      </c>
      <c r="I1472" s="1186">
        <v>13.44</v>
      </c>
      <c r="J1472" s="1186">
        <v>2.73</v>
      </c>
      <c r="K1472" s="1186">
        <v>13.7</v>
      </c>
      <c r="L1472" s="1186">
        <v>3.19</v>
      </c>
      <c r="M1472" s="1186">
        <v>16</v>
      </c>
      <c r="N1472" s="1186">
        <v>4.05</v>
      </c>
      <c r="O1472" s="1186">
        <v>22.4</v>
      </c>
      <c r="P1472" s="1186">
        <v>5.46</v>
      </c>
      <c r="Q1472" s="1186">
        <v>11.84</v>
      </c>
      <c r="R1472" s="1186">
        <v>1.87</v>
      </c>
      <c r="S1472" s="1186">
        <v>14.6</v>
      </c>
      <c r="T1472" s="1186">
        <v>2.74</v>
      </c>
      <c r="U1472" s="1186">
        <v>19.579999999999998</v>
      </c>
      <c r="V1472" s="1186">
        <v>3</v>
      </c>
      <c r="W1472" s="1186"/>
      <c r="X1472" s="1186"/>
      <c r="Y1472" s="1186"/>
      <c r="Z1472" s="1186"/>
      <c r="AA1472" s="1186"/>
      <c r="AB1472" s="1186"/>
      <c r="AC1472" s="1186"/>
      <c r="AD1472" s="1187"/>
    </row>
    <row r="1473" spans="1:30" x14ac:dyDescent="0.2">
      <c r="A1473">
        <f t="shared" si="56"/>
        <v>39</v>
      </c>
      <c r="B1473">
        <v>1464</v>
      </c>
      <c r="C1473" s="1078">
        <v>2</v>
      </c>
      <c r="D1473" s="1077" t="s">
        <v>4930</v>
      </c>
      <c r="E1473" s="1077" t="s">
        <v>4974</v>
      </c>
      <c r="F1473" s="1185">
        <v>4</v>
      </c>
      <c r="G1473" s="1186">
        <v>3.74</v>
      </c>
      <c r="H1473" s="1186">
        <v>2.33</v>
      </c>
      <c r="I1473" s="1186">
        <v>3.74</v>
      </c>
      <c r="J1473" s="1186">
        <v>2.81</v>
      </c>
      <c r="K1473" s="1186">
        <v>4</v>
      </c>
      <c r="L1473" s="1186">
        <v>3.54</v>
      </c>
      <c r="M1473" s="1186">
        <v>4.4000000000000004</v>
      </c>
      <c r="N1473" s="1186">
        <v>4.7300000000000004</v>
      </c>
      <c r="O1473" s="1186">
        <v>6.16</v>
      </c>
      <c r="P1473" s="1186">
        <v>6.35</v>
      </c>
      <c r="Q1473" s="1186">
        <v>3.3</v>
      </c>
      <c r="R1473" s="1186">
        <v>1.92</v>
      </c>
      <c r="S1473" s="1186">
        <v>3.83</v>
      </c>
      <c r="T1473" s="1186">
        <v>2.8</v>
      </c>
      <c r="U1473" s="1186">
        <v>5.39</v>
      </c>
      <c r="V1473" s="1186">
        <v>3.5</v>
      </c>
      <c r="W1473" s="1186"/>
      <c r="X1473" s="1186"/>
      <c r="Y1473" s="1186"/>
      <c r="Z1473" s="1186"/>
      <c r="AA1473" s="1186"/>
      <c r="AB1473" s="1186"/>
      <c r="AC1473" s="1186"/>
      <c r="AD1473" s="1187"/>
    </row>
    <row r="1474" spans="1:30" x14ac:dyDescent="0.2">
      <c r="A1474">
        <f t="shared" si="56"/>
        <v>39</v>
      </c>
      <c r="B1474">
        <v>1465</v>
      </c>
      <c r="C1474" s="1078">
        <v>2</v>
      </c>
      <c r="D1474" s="1077" t="s">
        <v>4930</v>
      </c>
      <c r="E1474" s="1077" t="s">
        <v>4975</v>
      </c>
      <c r="F1474" s="1185">
        <v>4</v>
      </c>
      <c r="G1474" s="1186">
        <v>5.61</v>
      </c>
      <c r="H1474" s="1186">
        <v>2.2200000000000002</v>
      </c>
      <c r="I1474" s="1186">
        <v>5.47</v>
      </c>
      <c r="J1474" s="1186">
        <v>2.79</v>
      </c>
      <c r="K1474" s="1186">
        <v>5.8</v>
      </c>
      <c r="L1474" s="1186">
        <v>3.31</v>
      </c>
      <c r="M1474" s="1186">
        <v>6.6</v>
      </c>
      <c r="N1474" s="1186">
        <v>4.49</v>
      </c>
      <c r="O1474" s="1186">
        <v>9.24</v>
      </c>
      <c r="P1474" s="1186">
        <v>6.04</v>
      </c>
      <c r="Q1474" s="1186">
        <v>4.0199999999999996</v>
      </c>
      <c r="R1474" s="1186">
        <v>1.76</v>
      </c>
      <c r="S1474" s="1186">
        <v>4.8</v>
      </c>
      <c r="T1474" s="1186">
        <v>2.6</v>
      </c>
      <c r="U1474" s="1186">
        <v>8.08</v>
      </c>
      <c r="V1474" s="1186">
        <v>3.33</v>
      </c>
      <c r="W1474" s="1186"/>
      <c r="X1474" s="1186"/>
      <c r="Y1474" s="1186"/>
      <c r="Z1474" s="1186"/>
      <c r="AA1474" s="1186"/>
      <c r="AB1474" s="1186"/>
      <c r="AC1474" s="1186"/>
      <c r="AD1474" s="1187"/>
    </row>
    <row r="1475" spans="1:30" x14ac:dyDescent="0.2">
      <c r="A1475">
        <f t="shared" si="56"/>
        <v>39</v>
      </c>
      <c r="B1475">
        <v>1466</v>
      </c>
      <c r="C1475" s="1078">
        <v>2</v>
      </c>
      <c r="D1475" s="1077" t="s">
        <v>4930</v>
      </c>
      <c r="E1475" s="1077" t="s">
        <v>4976</v>
      </c>
      <c r="F1475" s="1185">
        <v>4</v>
      </c>
      <c r="G1475" s="1186">
        <v>7.65</v>
      </c>
      <c r="H1475" s="1186">
        <v>2.1</v>
      </c>
      <c r="I1475" s="1186">
        <v>7.1</v>
      </c>
      <c r="J1475" s="1186">
        <v>2.8</v>
      </c>
      <c r="K1475" s="1186">
        <v>7.7</v>
      </c>
      <c r="L1475" s="1186">
        <v>3.47</v>
      </c>
      <c r="M1475" s="1186">
        <v>9</v>
      </c>
      <c r="N1475" s="1186">
        <v>4.25</v>
      </c>
      <c r="O1475" s="1186">
        <v>12.6</v>
      </c>
      <c r="P1475" s="1186">
        <v>5.73</v>
      </c>
      <c r="Q1475" s="1186">
        <v>6.26</v>
      </c>
      <c r="R1475" s="1186">
        <v>1.9</v>
      </c>
      <c r="S1475" s="1186">
        <v>7.66</v>
      </c>
      <c r="T1475" s="1186">
        <v>2.72</v>
      </c>
      <c r="U1475" s="1186">
        <v>11.02</v>
      </c>
      <c r="V1475" s="1186">
        <v>3.15</v>
      </c>
      <c r="W1475" s="1186"/>
      <c r="X1475" s="1186"/>
      <c r="Y1475" s="1186"/>
      <c r="Z1475" s="1186"/>
      <c r="AA1475" s="1186"/>
      <c r="AB1475" s="1186"/>
      <c r="AC1475" s="1186"/>
      <c r="AD1475" s="1187"/>
    </row>
    <row r="1476" spans="1:30" x14ac:dyDescent="0.2">
      <c r="A1476">
        <f t="shared" si="56"/>
        <v>39</v>
      </c>
      <c r="B1476">
        <v>1467</v>
      </c>
      <c r="C1476" s="1078">
        <v>2</v>
      </c>
      <c r="D1476" s="1077" t="s">
        <v>4930</v>
      </c>
      <c r="E1476" s="1077" t="s">
        <v>4977</v>
      </c>
      <c r="F1476" s="1185">
        <v>4</v>
      </c>
      <c r="G1476" s="1186">
        <v>10.199999999999999</v>
      </c>
      <c r="H1476" s="1186">
        <v>2.1800000000000002</v>
      </c>
      <c r="I1476" s="1186">
        <v>10.18</v>
      </c>
      <c r="J1476" s="1186">
        <v>2.97</v>
      </c>
      <c r="K1476" s="1186">
        <v>11</v>
      </c>
      <c r="L1476" s="1186">
        <v>3.41</v>
      </c>
      <c r="M1476" s="1186">
        <v>12</v>
      </c>
      <c r="N1476" s="1186">
        <v>4.41</v>
      </c>
      <c r="O1476" s="1186">
        <v>16.8</v>
      </c>
      <c r="P1476" s="1186">
        <v>5.96</v>
      </c>
      <c r="Q1476" s="1186">
        <v>8.9600000000000009</v>
      </c>
      <c r="R1476" s="1186">
        <v>2.02</v>
      </c>
      <c r="S1476" s="1186">
        <v>10.72</v>
      </c>
      <c r="T1476" s="1186">
        <v>2.74</v>
      </c>
      <c r="U1476" s="1186">
        <v>14.69</v>
      </c>
      <c r="V1476" s="1186">
        <v>3.27</v>
      </c>
      <c r="W1476" s="1186"/>
      <c r="X1476" s="1186"/>
      <c r="Y1476" s="1186"/>
      <c r="Z1476" s="1186"/>
      <c r="AA1476" s="1186"/>
      <c r="AB1476" s="1186"/>
      <c r="AC1476" s="1186"/>
      <c r="AD1476" s="1187"/>
    </row>
    <row r="1477" spans="1:30" x14ac:dyDescent="0.2">
      <c r="A1477">
        <f t="shared" si="56"/>
        <v>39</v>
      </c>
      <c r="B1477">
        <v>1468</v>
      </c>
      <c r="C1477" s="1078">
        <v>2</v>
      </c>
      <c r="D1477" s="1077" t="s">
        <v>4930</v>
      </c>
      <c r="E1477" s="1077" t="s">
        <v>4978</v>
      </c>
      <c r="F1477" s="1185">
        <v>4</v>
      </c>
      <c r="G1477" s="1186">
        <v>13.28</v>
      </c>
      <c r="H1477" s="1186">
        <v>1.96</v>
      </c>
      <c r="I1477" s="1186">
        <v>13.44</v>
      </c>
      <c r="J1477" s="1186">
        <v>2.73</v>
      </c>
      <c r="K1477" s="1186">
        <v>13.7</v>
      </c>
      <c r="L1477" s="1186">
        <v>3.19</v>
      </c>
      <c r="M1477" s="1186">
        <v>16</v>
      </c>
      <c r="N1477" s="1186">
        <v>4.05</v>
      </c>
      <c r="O1477" s="1186">
        <v>22.4</v>
      </c>
      <c r="P1477" s="1186">
        <v>5.46</v>
      </c>
      <c r="Q1477" s="1186">
        <v>11.84</v>
      </c>
      <c r="R1477" s="1186">
        <v>1.87</v>
      </c>
      <c r="S1477" s="1186">
        <v>14.6</v>
      </c>
      <c r="T1477" s="1186">
        <v>2.74</v>
      </c>
      <c r="U1477" s="1186">
        <v>19.579999999999998</v>
      </c>
      <c r="V1477" s="1186">
        <v>3</v>
      </c>
      <c r="W1477" s="1186"/>
      <c r="X1477" s="1186"/>
      <c r="Y1477" s="1186"/>
      <c r="Z1477" s="1186"/>
      <c r="AA1477" s="1186"/>
      <c r="AB1477" s="1186"/>
      <c r="AC1477" s="1186"/>
      <c r="AD1477" s="1187"/>
    </row>
    <row r="1478" spans="1:30" x14ac:dyDescent="0.2">
      <c r="A1478">
        <f t="shared" si="56"/>
        <v>39</v>
      </c>
      <c r="B1478">
        <v>1469</v>
      </c>
      <c r="C1478" s="1078">
        <v>2</v>
      </c>
      <c r="D1478" s="1077" t="s">
        <v>4930</v>
      </c>
      <c r="E1478" s="1077" t="s">
        <v>4979</v>
      </c>
      <c r="F1478" s="1185">
        <v>4</v>
      </c>
      <c r="G1478" s="1186">
        <v>7.65</v>
      </c>
      <c r="H1478" s="1186">
        <v>2.1</v>
      </c>
      <c r="I1478" s="1186">
        <v>7.1</v>
      </c>
      <c r="J1478" s="1186">
        <v>2.8</v>
      </c>
      <c r="K1478" s="1186">
        <v>7.7</v>
      </c>
      <c r="L1478" s="1186">
        <v>3.47</v>
      </c>
      <c r="M1478" s="1186">
        <v>9</v>
      </c>
      <c r="N1478" s="1186">
        <v>4.25</v>
      </c>
      <c r="O1478" s="1186">
        <v>12.6</v>
      </c>
      <c r="P1478" s="1186">
        <v>5.73</v>
      </c>
      <c r="Q1478" s="1186">
        <v>6.26</v>
      </c>
      <c r="R1478" s="1186">
        <v>1.9</v>
      </c>
      <c r="S1478" s="1186">
        <v>7.66</v>
      </c>
      <c r="T1478" s="1186">
        <v>2.72</v>
      </c>
      <c r="U1478" s="1186">
        <v>11.02</v>
      </c>
      <c r="V1478" s="1186">
        <v>3.15</v>
      </c>
      <c r="W1478" s="1186"/>
      <c r="X1478" s="1186"/>
      <c r="Y1478" s="1186"/>
      <c r="Z1478" s="1186"/>
      <c r="AA1478" s="1186"/>
      <c r="AB1478" s="1186"/>
      <c r="AC1478" s="1186"/>
      <c r="AD1478" s="1187"/>
    </row>
    <row r="1479" spans="1:30" x14ac:dyDescent="0.2">
      <c r="A1479">
        <f t="shared" si="56"/>
        <v>39</v>
      </c>
      <c r="B1479">
        <v>1470</v>
      </c>
      <c r="C1479" s="1078">
        <v>2</v>
      </c>
      <c r="D1479" s="1077" t="s">
        <v>4930</v>
      </c>
      <c r="E1479" s="1077" t="s">
        <v>4980</v>
      </c>
      <c r="F1479" s="1185">
        <v>4</v>
      </c>
      <c r="G1479" s="1186">
        <v>10.199999999999999</v>
      </c>
      <c r="H1479" s="1186">
        <v>2.1800000000000002</v>
      </c>
      <c r="I1479" s="1186">
        <v>10.18</v>
      </c>
      <c r="J1479" s="1186">
        <v>2.97</v>
      </c>
      <c r="K1479" s="1186">
        <v>11</v>
      </c>
      <c r="L1479" s="1186">
        <v>3.41</v>
      </c>
      <c r="M1479" s="1186">
        <v>12</v>
      </c>
      <c r="N1479" s="1186">
        <v>4.41</v>
      </c>
      <c r="O1479" s="1186">
        <v>16.8</v>
      </c>
      <c r="P1479" s="1186">
        <v>5.96</v>
      </c>
      <c r="Q1479" s="1186">
        <v>8.9600000000000009</v>
      </c>
      <c r="R1479" s="1186">
        <v>2.02</v>
      </c>
      <c r="S1479" s="1186">
        <v>10.72</v>
      </c>
      <c r="T1479" s="1186">
        <v>2.74</v>
      </c>
      <c r="U1479" s="1186">
        <v>14.69</v>
      </c>
      <c r="V1479" s="1186">
        <v>3.27</v>
      </c>
      <c r="W1479" s="1186"/>
      <c r="X1479" s="1186"/>
      <c r="Y1479" s="1186"/>
      <c r="Z1479" s="1186"/>
      <c r="AA1479" s="1186"/>
      <c r="AB1479" s="1186"/>
      <c r="AC1479" s="1186"/>
      <c r="AD1479" s="1187"/>
    </row>
    <row r="1480" spans="1:30" x14ac:dyDescent="0.2">
      <c r="A1480">
        <f t="shared" si="56"/>
        <v>39</v>
      </c>
      <c r="B1480">
        <v>1471</v>
      </c>
      <c r="C1480" s="1078">
        <v>2</v>
      </c>
      <c r="D1480" s="1077" t="s">
        <v>4930</v>
      </c>
      <c r="E1480" s="1077" t="s">
        <v>4981</v>
      </c>
      <c r="F1480" s="1185">
        <v>4</v>
      </c>
      <c r="G1480" s="1186">
        <v>13.28</v>
      </c>
      <c r="H1480" s="1186">
        <v>1.96</v>
      </c>
      <c r="I1480" s="1186">
        <v>13.44</v>
      </c>
      <c r="J1480" s="1186">
        <v>2.73</v>
      </c>
      <c r="K1480" s="1186">
        <v>13.7</v>
      </c>
      <c r="L1480" s="1186">
        <v>3.19</v>
      </c>
      <c r="M1480" s="1186">
        <v>16</v>
      </c>
      <c r="N1480" s="1186">
        <v>4.05</v>
      </c>
      <c r="O1480" s="1186">
        <v>22.4</v>
      </c>
      <c r="P1480" s="1186">
        <v>5.46</v>
      </c>
      <c r="Q1480" s="1186">
        <v>11.84</v>
      </c>
      <c r="R1480" s="1186">
        <v>1.87</v>
      </c>
      <c r="S1480" s="1186">
        <v>14.6</v>
      </c>
      <c r="T1480" s="1186">
        <v>2.74</v>
      </c>
      <c r="U1480" s="1186">
        <v>19.579999999999998</v>
      </c>
      <c r="V1480" s="1186">
        <v>3</v>
      </c>
      <c r="W1480" s="1186"/>
      <c r="X1480" s="1186"/>
      <c r="Y1480" s="1186"/>
      <c r="Z1480" s="1186"/>
      <c r="AA1480" s="1186"/>
      <c r="AB1480" s="1186"/>
      <c r="AC1480" s="1186"/>
      <c r="AD1480" s="1187"/>
    </row>
    <row r="1481" spans="1:30" x14ac:dyDescent="0.2">
      <c r="A1481">
        <f t="shared" si="56"/>
        <v>40</v>
      </c>
      <c r="B1481">
        <v>1472</v>
      </c>
      <c r="C1481" s="1078">
        <v>2</v>
      </c>
      <c r="D1481" s="1077" t="s">
        <v>5411</v>
      </c>
      <c r="E1481" s="1077" t="s">
        <v>5456</v>
      </c>
      <c r="F1481" s="1185">
        <v>4</v>
      </c>
      <c r="G1481" s="1186">
        <v>3.43</v>
      </c>
      <c r="H1481" s="1186">
        <v>2.41</v>
      </c>
      <c r="I1481" s="1186">
        <v>4.0599999999999996</v>
      </c>
      <c r="J1481" s="1186">
        <v>2.72</v>
      </c>
      <c r="K1481" s="1186">
        <v>2.59</v>
      </c>
      <c r="L1481" s="1186">
        <v>3.72</v>
      </c>
      <c r="M1481" s="1186">
        <v>2.27</v>
      </c>
      <c r="N1481" s="1186">
        <v>4.54</v>
      </c>
      <c r="O1481" s="1186">
        <v>1.7</v>
      </c>
      <c r="P1481" s="1186">
        <v>6.86</v>
      </c>
      <c r="Q1481" s="1186">
        <v>3.9</v>
      </c>
      <c r="R1481" s="1186">
        <v>1.94</v>
      </c>
      <c r="S1481" s="1186">
        <v>1.92</v>
      </c>
      <c r="T1481" s="1186">
        <v>2.59</v>
      </c>
      <c r="U1481" s="1186">
        <v>2</v>
      </c>
      <c r="V1481" s="1186">
        <v>3.78</v>
      </c>
      <c r="W1481" s="1186"/>
      <c r="X1481" s="1186"/>
      <c r="Y1481" s="1186"/>
      <c r="Z1481" s="1186"/>
      <c r="AA1481" s="1186"/>
      <c r="AB1481" s="1186"/>
      <c r="AC1481" s="1186"/>
      <c r="AD1481" s="1187"/>
    </row>
    <row r="1482" spans="1:30" x14ac:dyDescent="0.2">
      <c r="A1482">
        <f t="shared" si="56"/>
        <v>40</v>
      </c>
      <c r="B1482">
        <v>1473</v>
      </c>
      <c r="C1482" s="1078">
        <v>2</v>
      </c>
      <c r="D1482" s="1077" t="s">
        <v>5411</v>
      </c>
      <c r="E1482" s="1077" t="s">
        <v>4591</v>
      </c>
      <c r="F1482" s="1185">
        <v>4</v>
      </c>
      <c r="G1482" s="1186">
        <v>3.45</v>
      </c>
      <c r="H1482" s="1186">
        <v>2.63</v>
      </c>
      <c r="I1482" s="1186">
        <v>4.18</v>
      </c>
      <c r="J1482" s="1186">
        <v>3.07</v>
      </c>
      <c r="K1482" s="1186">
        <v>2.62</v>
      </c>
      <c r="L1482" s="1186">
        <v>3.76</v>
      </c>
      <c r="M1482" s="1186">
        <v>2.06</v>
      </c>
      <c r="N1482" s="1186">
        <v>4.68</v>
      </c>
      <c r="O1482" s="1186">
        <v>1.7</v>
      </c>
      <c r="P1482" s="1186">
        <v>5.49</v>
      </c>
      <c r="Q1482" s="1186">
        <v>3.89</v>
      </c>
      <c r="R1482" s="1186">
        <v>2.11</v>
      </c>
      <c r="S1482" s="1186">
        <v>2.1</v>
      </c>
      <c r="T1482" s="1186">
        <v>2.64</v>
      </c>
      <c r="U1482" s="1186"/>
      <c r="V1482" s="1186"/>
      <c r="W1482" s="1186"/>
      <c r="X1482" s="1186"/>
      <c r="Y1482" s="1186"/>
      <c r="Z1482" s="1186"/>
      <c r="AA1482" s="1186"/>
      <c r="AB1482" s="1186"/>
      <c r="AC1482" s="1186"/>
      <c r="AD1482" s="1187"/>
    </row>
    <row r="1483" spans="1:30" x14ac:dyDescent="0.2">
      <c r="A1483">
        <f t="shared" si="56"/>
        <v>40</v>
      </c>
      <c r="B1483">
        <v>1474</v>
      </c>
      <c r="C1483" s="1078">
        <v>2</v>
      </c>
      <c r="D1483" s="1077" t="s">
        <v>5411</v>
      </c>
      <c r="E1483" s="1077" t="s">
        <v>4592</v>
      </c>
      <c r="F1483" s="1185">
        <v>4</v>
      </c>
      <c r="G1483" s="1079">
        <v>3.64</v>
      </c>
      <c r="H1483" s="1079">
        <v>2.68</v>
      </c>
      <c r="I1483" s="1079">
        <v>4.2300000000000004</v>
      </c>
      <c r="J1483" s="1079">
        <v>3.16</v>
      </c>
      <c r="K1483" s="1079">
        <v>2.64</v>
      </c>
      <c r="L1483" s="1079">
        <v>3.83</v>
      </c>
      <c r="M1483" s="1079">
        <v>2.06</v>
      </c>
      <c r="N1483" s="1079">
        <v>4.68</v>
      </c>
      <c r="O1483" s="1079">
        <v>1.7</v>
      </c>
      <c r="P1483" s="1079">
        <v>5.49</v>
      </c>
      <c r="Q1483" s="1079">
        <v>3.93</v>
      </c>
      <c r="R1483" s="1079">
        <v>2.15</v>
      </c>
      <c r="S1483" s="1079">
        <v>2.1</v>
      </c>
      <c r="T1483" s="1079">
        <v>2.64</v>
      </c>
      <c r="U1483" s="1079"/>
      <c r="V1483" s="1079"/>
      <c r="W1483" s="1079"/>
      <c r="X1483" s="1079"/>
      <c r="Y1483" s="1079"/>
      <c r="Z1483" s="1079"/>
      <c r="AA1483" s="1079"/>
      <c r="AB1483" s="1079"/>
      <c r="AC1483" s="1079"/>
      <c r="AD1483" s="1080"/>
    </row>
    <row r="1484" spans="1:30" x14ac:dyDescent="0.2">
      <c r="A1484">
        <f t="shared" ref="A1484:A1547" si="57">A1483+(D1484&lt;&gt;D1483)*1</f>
        <v>40</v>
      </c>
      <c r="B1484">
        <v>1475</v>
      </c>
      <c r="C1484" s="1078">
        <v>2</v>
      </c>
      <c r="D1484" s="1077" t="s">
        <v>5411</v>
      </c>
      <c r="E1484" s="1077" t="s">
        <v>5457</v>
      </c>
      <c r="F1484" s="1185">
        <v>4</v>
      </c>
      <c r="G1484" s="1079">
        <v>4.18</v>
      </c>
      <c r="H1484" s="1079">
        <v>2.9</v>
      </c>
      <c r="I1484" s="1079">
        <v>4.97</v>
      </c>
      <c r="J1484" s="1079">
        <v>3.45</v>
      </c>
      <c r="K1484" s="1079">
        <v>3.19</v>
      </c>
      <c r="L1484" s="1079">
        <v>4.5999999999999996</v>
      </c>
      <c r="M1484" s="1079">
        <v>3.31</v>
      </c>
      <c r="N1484" s="1079">
        <v>5.42</v>
      </c>
      <c r="O1484" s="1079">
        <v>4.4000000000000004</v>
      </c>
      <c r="P1484" s="1079">
        <v>8.44</v>
      </c>
      <c r="Q1484" s="1079">
        <v>4.9400000000000004</v>
      </c>
      <c r="R1484" s="1079">
        <v>2.5099999999999998</v>
      </c>
      <c r="S1484" s="1079">
        <v>2.7</v>
      </c>
      <c r="T1484" s="1079">
        <v>3.29</v>
      </c>
      <c r="U1484" s="1079">
        <v>4</v>
      </c>
      <c r="V1484" s="1079">
        <v>4.5</v>
      </c>
      <c r="W1484" s="1079"/>
      <c r="X1484" s="1079"/>
      <c r="Y1484" s="1079"/>
      <c r="Z1484" s="1079"/>
      <c r="AA1484" s="1079"/>
      <c r="AB1484" s="1079"/>
      <c r="AC1484" s="1079"/>
      <c r="AD1484" s="1080"/>
    </row>
    <row r="1485" spans="1:30" x14ac:dyDescent="0.2">
      <c r="A1485">
        <f t="shared" si="57"/>
        <v>40</v>
      </c>
      <c r="B1485">
        <v>1476</v>
      </c>
      <c r="C1485" s="1078">
        <v>2</v>
      </c>
      <c r="D1485" s="1077" t="s">
        <v>5411</v>
      </c>
      <c r="E1485" s="1077" t="s">
        <v>5458</v>
      </c>
      <c r="F1485" s="1185">
        <v>4</v>
      </c>
      <c r="G1485" s="1079">
        <v>6.4</v>
      </c>
      <c r="H1485" s="1079">
        <v>2.67</v>
      </c>
      <c r="I1485" s="1079">
        <v>6.87</v>
      </c>
      <c r="J1485" s="1079">
        <v>2.93</v>
      </c>
      <c r="K1485" s="1079">
        <v>4.3</v>
      </c>
      <c r="L1485" s="1079">
        <v>4.3</v>
      </c>
      <c r="M1485" s="1079">
        <v>3.31</v>
      </c>
      <c r="N1485" s="1079">
        <v>5.42</v>
      </c>
      <c r="O1485" s="1079">
        <v>4.4000000000000004</v>
      </c>
      <c r="P1485" s="1079">
        <v>8.44</v>
      </c>
      <c r="Q1485" s="1079">
        <v>7.01</v>
      </c>
      <c r="R1485" s="1079">
        <v>2.36</v>
      </c>
      <c r="S1485" s="1079">
        <v>2.7</v>
      </c>
      <c r="T1485" s="1079">
        <v>3.29</v>
      </c>
      <c r="U1485" s="1079">
        <v>4</v>
      </c>
      <c r="V1485" s="1079">
        <v>4.5</v>
      </c>
      <c r="W1485" s="1079"/>
      <c r="X1485" s="1079"/>
      <c r="Y1485" s="1079"/>
      <c r="Z1485" s="1079"/>
      <c r="AA1485" s="1079"/>
      <c r="AB1485" s="1079"/>
      <c r="AC1485" s="1079"/>
      <c r="AD1485" s="1080"/>
    </row>
    <row r="1486" spans="1:30" x14ac:dyDescent="0.2">
      <c r="A1486">
        <f t="shared" si="57"/>
        <v>40</v>
      </c>
      <c r="B1486">
        <v>1477</v>
      </c>
      <c r="C1486" s="1078">
        <v>2</v>
      </c>
      <c r="D1486" s="1077" t="s">
        <v>5411</v>
      </c>
      <c r="E1486" s="1077" t="s">
        <v>5459</v>
      </c>
      <c r="F1486" s="1185">
        <v>4</v>
      </c>
      <c r="G1486" s="1079">
        <v>5.98</v>
      </c>
      <c r="H1486" s="1079">
        <v>2.65</v>
      </c>
      <c r="I1486" s="1079">
        <v>6</v>
      </c>
      <c r="J1486" s="1079">
        <v>2.92</v>
      </c>
      <c r="K1486" s="1079">
        <v>4.3</v>
      </c>
      <c r="L1486" s="1079">
        <v>3.97</v>
      </c>
      <c r="M1486" s="1079">
        <v>4.8600000000000003</v>
      </c>
      <c r="N1486" s="1079">
        <v>4.76</v>
      </c>
      <c r="O1486" s="1079">
        <v>3.7</v>
      </c>
      <c r="P1486" s="1079">
        <v>6.49</v>
      </c>
      <c r="Q1486" s="1079">
        <v>6.5</v>
      </c>
      <c r="R1486" s="1079">
        <v>2</v>
      </c>
      <c r="S1486" s="1079">
        <v>4.3099999999999996</v>
      </c>
      <c r="T1486" s="1079">
        <v>2.73</v>
      </c>
      <c r="U1486" s="1079">
        <v>4.0999999999999996</v>
      </c>
      <c r="V1486" s="1079">
        <v>3.58</v>
      </c>
      <c r="W1486" s="1079"/>
      <c r="X1486" s="1079"/>
      <c r="Y1486" s="1079"/>
      <c r="Z1486" s="1079"/>
      <c r="AA1486" s="1079"/>
      <c r="AB1486" s="1079"/>
      <c r="AC1486" s="1079"/>
      <c r="AD1486" s="1080"/>
    </row>
    <row r="1487" spans="1:30" x14ac:dyDescent="0.2">
      <c r="A1487">
        <f t="shared" si="57"/>
        <v>40</v>
      </c>
      <c r="B1487">
        <v>1478</v>
      </c>
      <c r="C1487" s="1078">
        <v>2</v>
      </c>
      <c r="D1487" s="1077" t="s">
        <v>5411</v>
      </c>
      <c r="E1487" s="1077" t="s">
        <v>4593</v>
      </c>
      <c r="F1487" s="1185">
        <v>4</v>
      </c>
      <c r="G1487" s="1079">
        <v>6.21</v>
      </c>
      <c r="H1487" s="1079">
        <v>2.4300000000000002</v>
      </c>
      <c r="I1487" s="1079">
        <v>7.8</v>
      </c>
      <c r="J1487" s="1079">
        <v>2.58</v>
      </c>
      <c r="K1487" s="1079">
        <v>4.95</v>
      </c>
      <c r="L1487" s="1079">
        <v>3.7</v>
      </c>
      <c r="M1487" s="1079">
        <v>4.22</v>
      </c>
      <c r="N1487" s="1079">
        <v>4.5999999999999996</v>
      </c>
      <c r="O1487" s="1079">
        <v>4.3</v>
      </c>
      <c r="P1487" s="1079">
        <v>6.12</v>
      </c>
      <c r="Q1487" s="1079">
        <v>3.03</v>
      </c>
      <c r="R1487" s="1079">
        <v>1.94</v>
      </c>
      <c r="S1487" s="1079">
        <v>3.75</v>
      </c>
      <c r="T1487" s="1079">
        <v>2.5099999999999998</v>
      </c>
      <c r="U1487" s="1079"/>
      <c r="V1487" s="1079"/>
      <c r="W1487" s="1079"/>
      <c r="X1487" s="1079"/>
      <c r="Y1487" s="1079"/>
      <c r="Z1487" s="1079"/>
      <c r="AA1487" s="1079"/>
      <c r="AB1487" s="1079"/>
      <c r="AC1487" s="1079"/>
      <c r="AD1487" s="1080"/>
    </row>
    <row r="1488" spans="1:30" x14ac:dyDescent="0.2">
      <c r="A1488">
        <f t="shared" si="57"/>
        <v>40</v>
      </c>
      <c r="B1488">
        <v>1479</v>
      </c>
      <c r="C1488" s="1078">
        <v>2</v>
      </c>
      <c r="D1488" s="1077" t="s">
        <v>5411</v>
      </c>
      <c r="E1488" s="1077" t="s">
        <v>4594</v>
      </c>
      <c r="F1488" s="1185">
        <v>4</v>
      </c>
      <c r="G1488" s="1079">
        <v>6.29</v>
      </c>
      <c r="H1488" s="1079">
        <v>2.4700000000000002</v>
      </c>
      <c r="I1488" s="1079">
        <v>8.02</v>
      </c>
      <c r="J1488" s="1079">
        <v>2.63</v>
      </c>
      <c r="K1488" s="1079">
        <v>5.0199999999999996</v>
      </c>
      <c r="L1488" s="1079">
        <v>3.83</v>
      </c>
      <c r="M1488" s="1079">
        <v>4.2699999999999996</v>
      </c>
      <c r="N1488" s="1079">
        <v>4.74</v>
      </c>
      <c r="O1488" s="1079">
        <v>4.3</v>
      </c>
      <c r="P1488" s="1079">
        <v>6.12</v>
      </c>
      <c r="Q1488" s="1079">
        <v>3.14</v>
      </c>
      <c r="R1488" s="1079">
        <v>1.99</v>
      </c>
      <c r="S1488" s="1079">
        <v>3.81</v>
      </c>
      <c r="T1488" s="1079">
        <v>2.58</v>
      </c>
      <c r="U1488" s="1079"/>
      <c r="V1488" s="1079"/>
      <c r="W1488" s="1079"/>
      <c r="X1488" s="1079"/>
      <c r="Y1488" s="1079"/>
      <c r="Z1488" s="1079"/>
      <c r="AA1488" s="1079"/>
      <c r="AB1488" s="1079"/>
      <c r="AC1488" s="1079"/>
      <c r="AD1488" s="1080"/>
    </row>
    <row r="1489" spans="1:30" x14ac:dyDescent="0.2">
      <c r="A1489">
        <f t="shared" si="57"/>
        <v>40</v>
      </c>
      <c r="B1489">
        <v>1480</v>
      </c>
      <c r="C1489" s="1078">
        <v>2</v>
      </c>
      <c r="D1489" s="1077" t="s">
        <v>5411</v>
      </c>
      <c r="E1489" s="1077" t="s">
        <v>5460</v>
      </c>
      <c r="F1489" s="1185">
        <v>4</v>
      </c>
      <c r="G1489" s="1079">
        <v>6.9</v>
      </c>
      <c r="H1489" s="1079">
        <v>2.06</v>
      </c>
      <c r="I1489" s="1079">
        <v>8.34</v>
      </c>
      <c r="J1489" s="1079">
        <v>2.61</v>
      </c>
      <c r="K1489" s="1079">
        <v>5.16</v>
      </c>
      <c r="L1489" s="1079">
        <v>3.74</v>
      </c>
      <c r="M1489" s="1079">
        <v>4.4000000000000004</v>
      </c>
      <c r="N1489" s="1079">
        <v>4.74</v>
      </c>
      <c r="O1489" s="1079">
        <v>4.3</v>
      </c>
      <c r="P1489" s="1079">
        <v>5</v>
      </c>
      <c r="Q1489" s="1079">
        <v>4.8</v>
      </c>
      <c r="R1489" s="1079">
        <v>1.88</v>
      </c>
      <c r="S1489" s="1079">
        <v>5</v>
      </c>
      <c r="T1489" s="1079">
        <v>2.9</v>
      </c>
      <c r="U1489" s="1079">
        <v>4.7</v>
      </c>
      <c r="V1489" s="1079">
        <v>3.6</v>
      </c>
      <c r="W1489" s="1079"/>
      <c r="X1489" s="1079"/>
      <c r="Y1489" s="1079"/>
      <c r="Z1489" s="1079"/>
      <c r="AA1489" s="1079"/>
      <c r="AB1489" s="1079"/>
      <c r="AC1489" s="1079"/>
      <c r="AD1489" s="1080"/>
    </row>
    <row r="1490" spans="1:30" x14ac:dyDescent="0.2">
      <c r="A1490">
        <f t="shared" si="57"/>
        <v>40</v>
      </c>
      <c r="B1490">
        <v>1481</v>
      </c>
      <c r="C1490" s="1078">
        <v>2</v>
      </c>
      <c r="D1490" s="1077" t="s">
        <v>5411</v>
      </c>
      <c r="E1490" s="1077" t="s">
        <v>4595</v>
      </c>
      <c r="F1490" s="1185">
        <v>4</v>
      </c>
      <c r="G1490" s="1079">
        <v>7.07</v>
      </c>
      <c r="H1490" s="1079">
        <v>2.4900000000000002</v>
      </c>
      <c r="I1490" s="1079">
        <v>7.8</v>
      </c>
      <c r="J1490" s="1079">
        <v>2.92</v>
      </c>
      <c r="K1490" s="1079">
        <v>5.73</v>
      </c>
      <c r="L1490" s="1079">
        <v>3.97</v>
      </c>
      <c r="M1490" s="1079">
        <v>4.8600000000000003</v>
      </c>
      <c r="N1490" s="1079">
        <v>4.76</v>
      </c>
      <c r="O1490" s="1079">
        <v>3.7</v>
      </c>
      <c r="P1490" s="1079">
        <v>6.49</v>
      </c>
      <c r="Q1490" s="1079">
        <v>7.6</v>
      </c>
      <c r="R1490" s="1079">
        <v>2.35</v>
      </c>
      <c r="S1490" s="1079">
        <v>4.3099999999999996</v>
      </c>
      <c r="T1490" s="1079">
        <v>2.73</v>
      </c>
      <c r="U1490" s="1079">
        <v>3.3</v>
      </c>
      <c r="V1490" s="1079">
        <v>3.58</v>
      </c>
      <c r="W1490" s="1079"/>
      <c r="X1490" s="1079"/>
      <c r="Y1490" s="1079"/>
      <c r="Z1490" s="1079"/>
      <c r="AA1490" s="1079"/>
      <c r="AB1490" s="1079"/>
      <c r="AC1490" s="1079"/>
      <c r="AD1490" s="1080"/>
    </row>
    <row r="1491" spans="1:30" x14ac:dyDescent="0.2">
      <c r="A1491">
        <f t="shared" si="57"/>
        <v>40</v>
      </c>
      <c r="B1491">
        <v>1482</v>
      </c>
      <c r="C1491" s="1078">
        <v>2</v>
      </c>
      <c r="D1491" s="1077" t="s">
        <v>5411</v>
      </c>
      <c r="E1491" s="1077" t="s">
        <v>5553</v>
      </c>
      <c r="F1491" s="1185">
        <v>4</v>
      </c>
      <c r="G1491" s="1079">
        <v>8.5299999999999994</v>
      </c>
      <c r="H1491" s="1079">
        <v>2.93</v>
      </c>
      <c r="I1491" s="1079">
        <v>9.91</v>
      </c>
      <c r="J1491" s="1079">
        <v>3.32</v>
      </c>
      <c r="K1491" s="1079">
        <v>7.41</v>
      </c>
      <c r="L1491" s="1079">
        <v>4.12</v>
      </c>
      <c r="M1491" s="1079">
        <v>6.7</v>
      </c>
      <c r="N1491" s="1079">
        <v>4.99</v>
      </c>
      <c r="O1491" s="1079">
        <v>7.54</v>
      </c>
      <c r="P1491" s="1079">
        <v>6.21</v>
      </c>
      <c r="Q1491" s="1079">
        <v>10.58</v>
      </c>
      <c r="R1491" s="1079">
        <v>2.4900000000000002</v>
      </c>
      <c r="S1491" s="1079">
        <v>8.59</v>
      </c>
      <c r="T1491" s="1079">
        <v>3.3</v>
      </c>
      <c r="U1491" s="1079">
        <v>7.89</v>
      </c>
      <c r="V1491" s="1079">
        <v>3.56</v>
      </c>
      <c r="W1491" s="1079"/>
      <c r="X1491" s="1079"/>
      <c r="Y1491" s="1079"/>
      <c r="Z1491" s="1079"/>
      <c r="AA1491" s="1079"/>
      <c r="AB1491" s="1079"/>
      <c r="AC1491" s="1079"/>
      <c r="AD1491" s="1080"/>
    </row>
    <row r="1492" spans="1:30" x14ac:dyDescent="0.2">
      <c r="A1492">
        <f t="shared" si="57"/>
        <v>40</v>
      </c>
      <c r="B1492">
        <v>1483</v>
      </c>
      <c r="C1492" s="1078">
        <v>2</v>
      </c>
      <c r="D1492" s="1077" t="s">
        <v>5411</v>
      </c>
      <c r="E1492" s="1077" t="s">
        <v>5461</v>
      </c>
      <c r="F1492" s="1185">
        <v>4</v>
      </c>
      <c r="G1492" s="1079">
        <v>7.84</v>
      </c>
      <c r="H1492" s="1079">
        <v>2.76</v>
      </c>
      <c r="I1492" s="1079">
        <v>9.9</v>
      </c>
      <c r="J1492" s="1079">
        <v>3.36</v>
      </c>
      <c r="K1492" s="1079">
        <v>7.82</v>
      </c>
      <c r="L1492" s="1079">
        <v>3.82</v>
      </c>
      <c r="M1492" s="1079">
        <v>8.24</v>
      </c>
      <c r="N1492" s="1079">
        <v>4.6100000000000003</v>
      </c>
      <c r="O1492" s="1079">
        <v>10.34</v>
      </c>
      <c r="P1492" s="1079">
        <v>5.92</v>
      </c>
      <c r="Q1492" s="1079">
        <v>9.49</v>
      </c>
      <c r="R1492" s="1079">
        <v>2.36</v>
      </c>
      <c r="S1492" s="1079">
        <v>9.0299999999999994</v>
      </c>
      <c r="T1492" s="1079">
        <v>3.14</v>
      </c>
      <c r="U1492" s="1079">
        <v>11.06</v>
      </c>
      <c r="V1492" s="1079">
        <v>3.79</v>
      </c>
      <c r="W1492" s="1079"/>
      <c r="X1492" s="1079"/>
      <c r="Y1492" s="1079"/>
      <c r="Z1492" s="1079"/>
      <c r="AA1492" s="1079"/>
      <c r="AB1492" s="1079"/>
      <c r="AC1492" s="1079"/>
      <c r="AD1492" s="1080"/>
    </row>
    <row r="1493" spans="1:30" x14ac:dyDescent="0.2">
      <c r="A1493">
        <f t="shared" si="57"/>
        <v>40</v>
      </c>
      <c r="B1493">
        <v>1484</v>
      </c>
      <c r="C1493" s="1078">
        <v>2</v>
      </c>
      <c r="D1493" s="1077" t="s">
        <v>5411</v>
      </c>
      <c r="E1493" s="1077" t="s">
        <v>5462</v>
      </c>
      <c r="F1493" s="1185">
        <v>4</v>
      </c>
      <c r="G1493" s="1079">
        <v>11.28</v>
      </c>
      <c r="H1493" s="1079">
        <v>2.71</v>
      </c>
      <c r="I1493" s="1079">
        <v>12.34</v>
      </c>
      <c r="J1493" s="1079">
        <v>3</v>
      </c>
      <c r="K1493" s="1079">
        <v>7.82</v>
      </c>
      <c r="L1493" s="1079">
        <v>3.82</v>
      </c>
      <c r="M1493" s="1079">
        <v>8.24</v>
      </c>
      <c r="N1493" s="1079">
        <v>4.6100000000000003</v>
      </c>
      <c r="O1493" s="1079">
        <v>10.34</v>
      </c>
      <c r="P1493" s="1079">
        <v>5.92</v>
      </c>
      <c r="Q1493" s="1079">
        <v>12.73</v>
      </c>
      <c r="R1493" s="1079">
        <v>2.2799999999999998</v>
      </c>
      <c r="S1493" s="1079">
        <v>9.0299999999999994</v>
      </c>
      <c r="T1493" s="1079">
        <v>3.14</v>
      </c>
      <c r="U1493" s="1079">
        <v>11.06</v>
      </c>
      <c r="V1493" s="1079">
        <v>3.79</v>
      </c>
      <c r="W1493" s="1079"/>
      <c r="X1493" s="1079"/>
      <c r="Y1493" s="1079"/>
      <c r="Z1493" s="1079"/>
      <c r="AA1493" s="1079"/>
      <c r="AB1493" s="1079"/>
      <c r="AC1493" s="1079"/>
      <c r="AD1493" s="1080"/>
    </row>
    <row r="1494" spans="1:30" x14ac:dyDescent="0.2">
      <c r="A1494">
        <f t="shared" si="57"/>
        <v>40</v>
      </c>
      <c r="B1494">
        <v>1485</v>
      </c>
      <c r="C1494" s="1078">
        <v>2</v>
      </c>
      <c r="D1494" s="1077" t="s">
        <v>5411</v>
      </c>
      <c r="E1494" s="1077" t="s">
        <v>5463</v>
      </c>
      <c r="F1494" s="1185">
        <v>4</v>
      </c>
      <c r="G1494" s="1079">
        <v>10.199999999999999</v>
      </c>
      <c r="H1494" s="1079">
        <v>2.81</v>
      </c>
      <c r="I1494" s="1079">
        <v>11.6</v>
      </c>
      <c r="J1494" s="1079">
        <v>3.04</v>
      </c>
      <c r="K1494" s="1079">
        <v>7.82</v>
      </c>
      <c r="L1494" s="1079">
        <v>3.82</v>
      </c>
      <c r="M1494" s="1079">
        <v>8.24</v>
      </c>
      <c r="N1494" s="1079">
        <v>4.6100000000000003</v>
      </c>
      <c r="O1494" s="1079">
        <v>10.34</v>
      </c>
      <c r="P1494" s="1079">
        <v>5.92</v>
      </c>
      <c r="Q1494" s="1079">
        <v>12</v>
      </c>
      <c r="R1494" s="1079">
        <v>2.41</v>
      </c>
      <c r="S1494" s="1079">
        <v>9.0299999999999994</v>
      </c>
      <c r="T1494" s="1079">
        <v>3.14</v>
      </c>
      <c r="U1494" s="1079">
        <v>11.06</v>
      </c>
      <c r="V1494" s="1079">
        <v>3.79</v>
      </c>
      <c r="W1494" s="1079"/>
      <c r="X1494" s="1079"/>
      <c r="Y1494" s="1079"/>
      <c r="Z1494" s="1079"/>
      <c r="AA1494" s="1079"/>
      <c r="AB1494" s="1079"/>
      <c r="AC1494" s="1079"/>
      <c r="AD1494" s="1080"/>
    </row>
    <row r="1495" spans="1:30" x14ac:dyDescent="0.2">
      <c r="A1495">
        <f t="shared" si="57"/>
        <v>40</v>
      </c>
      <c r="B1495">
        <v>1486</v>
      </c>
      <c r="C1495" s="1078">
        <v>2</v>
      </c>
      <c r="D1495" s="1077" t="s">
        <v>5411</v>
      </c>
      <c r="E1495" s="1077" t="s">
        <v>5464</v>
      </c>
      <c r="F1495" s="1185">
        <v>1</v>
      </c>
      <c r="G1495" s="1079">
        <v>5.2</v>
      </c>
      <c r="H1495" s="1079">
        <v>2.6</v>
      </c>
      <c r="I1495" s="1079">
        <v>6.77</v>
      </c>
      <c r="J1495" s="1079">
        <v>3.2</v>
      </c>
      <c r="K1495" s="1079">
        <v>8.09</v>
      </c>
      <c r="L1495" s="1079">
        <v>3.76</v>
      </c>
      <c r="M1495" s="1079">
        <v>8.93</v>
      </c>
      <c r="N1495" s="1079">
        <v>4.3499999999999996</v>
      </c>
      <c r="O1495" s="1079">
        <v>12.5</v>
      </c>
      <c r="P1495" s="1079">
        <v>4.9000000000000004</v>
      </c>
      <c r="Q1495" s="1079">
        <v>6.9</v>
      </c>
      <c r="R1495" s="1079">
        <v>2.2999999999999998</v>
      </c>
      <c r="S1495" s="1079">
        <v>8.1</v>
      </c>
      <c r="T1495" s="1079">
        <v>2.9</v>
      </c>
      <c r="U1495" s="1079">
        <v>11.1</v>
      </c>
      <c r="V1495" s="1079">
        <v>3.8</v>
      </c>
      <c r="W1495" s="1079"/>
      <c r="X1495" s="1079"/>
      <c r="Y1495" s="1079"/>
      <c r="Z1495" s="1079"/>
      <c r="AA1495" s="1079"/>
      <c r="AB1495" s="1079"/>
      <c r="AC1495" s="1079"/>
      <c r="AD1495" s="1080"/>
    </row>
    <row r="1496" spans="1:30" x14ac:dyDescent="0.2">
      <c r="A1496">
        <f t="shared" si="57"/>
        <v>40</v>
      </c>
      <c r="B1496">
        <v>1487</v>
      </c>
      <c r="C1496" s="1078">
        <v>2</v>
      </c>
      <c r="D1496" s="1077" t="s">
        <v>5411</v>
      </c>
      <c r="E1496" s="1077" t="s">
        <v>5465</v>
      </c>
      <c r="F1496" s="1185">
        <v>1</v>
      </c>
      <c r="G1496" s="1079">
        <v>5.2</v>
      </c>
      <c r="H1496" s="1079">
        <v>2.6</v>
      </c>
      <c r="I1496" s="1079">
        <v>6.6</v>
      </c>
      <c r="J1496" s="1079">
        <v>3.2</v>
      </c>
      <c r="K1496" s="1079">
        <v>8.1</v>
      </c>
      <c r="L1496" s="1079">
        <v>3.4</v>
      </c>
      <c r="M1496" s="1079">
        <v>9.1</v>
      </c>
      <c r="N1496" s="1079">
        <v>4.3499999999999996</v>
      </c>
      <c r="O1496" s="1079">
        <v>12.1</v>
      </c>
      <c r="P1496" s="1079">
        <v>4.8</v>
      </c>
      <c r="Q1496" s="1079">
        <v>7</v>
      </c>
      <c r="R1496" s="1079">
        <v>2.2000000000000002</v>
      </c>
      <c r="S1496" s="1079">
        <v>8.6</v>
      </c>
      <c r="T1496" s="1079">
        <v>2.7</v>
      </c>
      <c r="U1496" s="1079">
        <v>11.6</v>
      </c>
      <c r="V1496" s="1079">
        <v>3.5</v>
      </c>
      <c r="W1496" s="1079"/>
      <c r="X1496" s="1079"/>
      <c r="Y1496" s="1079"/>
      <c r="Z1496" s="1079"/>
      <c r="AA1496" s="1079"/>
      <c r="AB1496" s="1079"/>
      <c r="AC1496" s="1079"/>
      <c r="AD1496" s="1080"/>
    </row>
    <row r="1497" spans="1:30" x14ac:dyDescent="0.2">
      <c r="A1497">
        <f t="shared" si="57"/>
        <v>40</v>
      </c>
      <c r="B1497">
        <v>1488</v>
      </c>
      <c r="C1497" s="1078">
        <v>2</v>
      </c>
      <c r="D1497" s="1077" t="s">
        <v>5411</v>
      </c>
      <c r="E1497" s="1077" t="s">
        <v>5466</v>
      </c>
      <c r="F1497" s="1185">
        <v>4</v>
      </c>
      <c r="G1497" s="1079">
        <v>8.51</v>
      </c>
      <c r="H1497" s="1079">
        <v>2.92</v>
      </c>
      <c r="I1497" s="1079">
        <v>9.5399999999999991</v>
      </c>
      <c r="J1497" s="1079">
        <v>3.26</v>
      </c>
      <c r="K1497" s="1079">
        <v>8.33</v>
      </c>
      <c r="L1497" s="1079">
        <v>4.1399999999999997</v>
      </c>
      <c r="M1497" s="1079">
        <v>7.84</v>
      </c>
      <c r="N1497" s="1079">
        <v>5.09</v>
      </c>
      <c r="O1497" s="1079">
        <v>11.4</v>
      </c>
      <c r="P1497" s="1079">
        <v>6.43</v>
      </c>
      <c r="Q1497" s="1079">
        <v>10.73</v>
      </c>
      <c r="R1497" s="1079">
        <v>2.62</v>
      </c>
      <c r="S1497" s="1079">
        <v>7.3</v>
      </c>
      <c r="T1497" s="1079">
        <v>3.1</v>
      </c>
      <c r="U1497" s="1079">
        <v>9.8000000000000007</v>
      </c>
      <c r="V1497" s="1079">
        <v>3.85</v>
      </c>
      <c r="W1497" s="1079"/>
      <c r="X1497" s="1079"/>
      <c r="Y1497" s="1079"/>
      <c r="Z1497" s="1079"/>
      <c r="AA1497" s="1079"/>
      <c r="AB1497" s="1079"/>
      <c r="AC1497" s="1079"/>
      <c r="AD1497" s="1080"/>
    </row>
    <row r="1498" spans="1:30" x14ac:dyDescent="0.2">
      <c r="A1498">
        <f t="shared" si="57"/>
        <v>40</v>
      </c>
      <c r="B1498">
        <v>1489</v>
      </c>
      <c r="C1498" s="1078">
        <v>2</v>
      </c>
      <c r="D1498" s="1077" t="s">
        <v>5411</v>
      </c>
      <c r="E1498" s="1077" t="s">
        <v>5467</v>
      </c>
      <c r="F1498" s="1185">
        <v>4</v>
      </c>
      <c r="G1498" s="1079">
        <v>12.05</v>
      </c>
      <c r="H1498" s="1079">
        <v>2.69</v>
      </c>
      <c r="I1498" s="1079">
        <v>12.86</v>
      </c>
      <c r="J1498" s="1079">
        <v>2.93</v>
      </c>
      <c r="K1498" s="1079">
        <v>8.33</v>
      </c>
      <c r="L1498" s="1079">
        <v>4.1399999999999997</v>
      </c>
      <c r="M1498" s="1079">
        <v>7.84</v>
      </c>
      <c r="N1498" s="1079">
        <v>5.09</v>
      </c>
      <c r="O1498" s="1079">
        <v>11.4</v>
      </c>
      <c r="P1498" s="1079">
        <v>6.43</v>
      </c>
      <c r="Q1498" s="1079">
        <v>13.93</v>
      </c>
      <c r="R1498" s="1079">
        <v>2.42</v>
      </c>
      <c r="S1498" s="1079">
        <v>7.3</v>
      </c>
      <c r="T1498" s="1079">
        <v>3.1</v>
      </c>
      <c r="U1498" s="1079">
        <v>9.8000000000000007</v>
      </c>
      <c r="V1498" s="1079">
        <v>3.85</v>
      </c>
      <c r="W1498" s="1079"/>
      <c r="X1498" s="1079"/>
      <c r="Y1498" s="1079"/>
      <c r="Z1498" s="1079"/>
      <c r="AA1498" s="1079"/>
      <c r="AB1498" s="1079"/>
      <c r="AC1498" s="1079"/>
      <c r="AD1498" s="1080"/>
    </row>
    <row r="1499" spans="1:30" x14ac:dyDescent="0.2">
      <c r="A1499">
        <f t="shared" si="57"/>
        <v>40</v>
      </c>
      <c r="B1499">
        <v>1490</v>
      </c>
      <c r="C1499" s="1078">
        <v>2</v>
      </c>
      <c r="D1499" s="1077" t="s">
        <v>5411</v>
      </c>
      <c r="E1499" s="1077" t="s">
        <v>5468</v>
      </c>
      <c r="F1499" s="1185">
        <v>4</v>
      </c>
      <c r="G1499" s="1079">
        <v>12.98</v>
      </c>
      <c r="H1499" s="1079">
        <v>2.69</v>
      </c>
      <c r="I1499" s="1079">
        <v>13.45</v>
      </c>
      <c r="J1499" s="1079">
        <v>3</v>
      </c>
      <c r="K1499" s="1079">
        <v>9.0399999999999991</v>
      </c>
      <c r="L1499" s="1079">
        <v>4</v>
      </c>
      <c r="M1499" s="1079">
        <v>7.41</v>
      </c>
      <c r="N1499" s="1079">
        <v>4.72</v>
      </c>
      <c r="O1499" s="1079">
        <v>7.54</v>
      </c>
      <c r="P1499" s="1079">
        <v>6.21</v>
      </c>
      <c r="Q1499" s="1079">
        <v>15.46</v>
      </c>
      <c r="R1499" s="1079">
        <v>2.34</v>
      </c>
      <c r="S1499" s="1079">
        <v>10.42</v>
      </c>
      <c r="T1499" s="1079">
        <v>3.19</v>
      </c>
      <c r="U1499" s="1079">
        <v>7.89</v>
      </c>
      <c r="V1499" s="1079">
        <v>3.56</v>
      </c>
      <c r="W1499" s="1079"/>
      <c r="X1499" s="1079"/>
      <c r="Y1499" s="1079"/>
      <c r="Z1499" s="1079"/>
      <c r="AA1499" s="1079"/>
      <c r="AB1499" s="1079"/>
      <c r="AC1499" s="1079"/>
      <c r="AD1499" s="1080"/>
    </row>
    <row r="1500" spans="1:30" x14ac:dyDescent="0.2">
      <c r="A1500">
        <f t="shared" si="57"/>
        <v>40</v>
      </c>
      <c r="B1500">
        <v>1491</v>
      </c>
      <c r="C1500" s="1078">
        <v>2</v>
      </c>
      <c r="D1500" s="1077" t="s">
        <v>5411</v>
      </c>
      <c r="E1500" s="1077" t="s">
        <v>5469</v>
      </c>
      <c r="F1500" s="1185">
        <v>1</v>
      </c>
      <c r="G1500" s="1079">
        <v>7.8</v>
      </c>
      <c r="H1500" s="1079">
        <v>2.66</v>
      </c>
      <c r="I1500" s="1079">
        <v>9.7200000000000006</v>
      </c>
      <c r="J1500" s="1079">
        <v>3.27</v>
      </c>
      <c r="K1500" s="1079">
        <v>11.3</v>
      </c>
      <c r="L1500" s="1079">
        <v>3.7</v>
      </c>
      <c r="M1500" s="1079">
        <v>12.9</v>
      </c>
      <c r="N1500" s="1079">
        <v>4.46</v>
      </c>
      <c r="O1500" s="1079">
        <v>16.100000000000001</v>
      </c>
      <c r="P1500" s="1079">
        <v>5.37</v>
      </c>
      <c r="Q1500" s="1079">
        <v>10.3</v>
      </c>
      <c r="R1500" s="1079">
        <v>2.2400000000000002</v>
      </c>
      <c r="S1500" s="1079">
        <v>11.3</v>
      </c>
      <c r="T1500" s="1079">
        <v>2.79</v>
      </c>
      <c r="U1500" s="1079">
        <v>15.1</v>
      </c>
      <c r="V1500" s="1079">
        <v>3.47</v>
      </c>
      <c r="W1500" s="1079"/>
      <c r="X1500" s="1079"/>
      <c r="Y1500" s="1079"/>
      <c r="Z1500" s="1079"/>
      <c r="AA1500" s="1079"/>
      <c r="AB1500" s="1079"/>
      <c r="AC1500" s="1079"/>
      <c r="AD1500" s="1080"/>
    </row>
    <row r="1501" spans="1:30" x14ac:dyDescent="0.2">
      <c r="A1501">
        <f t="shared" si="57"/>
        <v>40</v>
      </c>
      <c r="B1501">
        <v>1492</v>
      </c>
      <c r="C1501" s="1078">
        <v>2</v>
      </c>
      <c r="D1501" s="1077" t="s">
        <v>5411</v>
      </c>
      <c r="E1501" s="1077" t="s">
        <v>5470</v>
      </c>
      <c r="F1501" s="1185">
        <v>1</v>
      </c>
      <c r="G1501" s="1079">
        <v>10.3</v>
      </c>
      <c r="H1501" s="1079">
        <v>2.67</v>
      </c>
      <c r="I1501" s="1079">
        <v>12.27</v>
      </c>
      <c r="J1501" s="1079">
        <v>2.91</v>
      </c>
      <c r="K1501" s="1079">
        <v>14.14</v>
      </c>
      <c r="L1501" s="1079">
        <v>3.23</v>
      </c>
      <c r="M1501" s="1079">
        <v>14.45</v>
      </c>
      <c r="N1501" s="1079">
        <v>3.52</v>
      </c>
      <c r="O1501" s="1079">
        <v>20.3</v>
      </c>
      <c r="P1501" s="1079">
        <v>4.74</v>
      </c>
      <c r="Q1501" s="1079">
        <v>13.8</v>
      </c>
      <c r="R1501" s="1079">
        <v>2.2400000000000002</v>
      </c>
      <c r="S1501" s="1079">
        <v>15.5</v>
      </c>
      <c r="T1501" s="1079">
        <v>2.77</v>
      </c>
      <c r="U1501" s="1079">
        <v>18.899999999999999</v>
      </c>
      <c r="V1501" s="1079">
        <v>3.03</v>
      </c>
      <c r="W1501" s="1079"/>
      <c r="X1501" s="1079"/>
      <c r="Y1501" s="1079"/>
      <c r="Z1501" s="1079"/>
      <c r="AA1501" s="1079"/>
      <c r="AB1501" s="1079"/>
      <c r="AC1501" s="1079"/>
      <c r="AD1501" s="1080"/>
    </row>
    <row r="1502" spans="1:30" x14ac:dyDescent="0.2">
      <c r="A1502">
        <f t="shared" si="57"/>
        <v>40</v>
      </c>
      <c r="B1502">
        <v>1493</v>
      </c>
      <c r="C1502" s="1078">
        <v>2</v>
      </c>
      <c r="D1502" s="1077" t="s">
        <v>5411</v>
      </c>
      <c r="E1502" s="1077" t="s">
        <v>5485</v>
      </c>
      <c r="F1502" s="1185">
        <v>4</v>
      </c>
      <c r="G1502" s="1079"/>
      <c r="H1502" s="1079"/>
      <c r="I1502" s="1079"/>
      <c r="J1502" s="1079"/>
      <c r="K1502" s="1079"/>
      <c r="L1502" s="1079"/>
      <c r="M1502" s="1079"/>
      <c r="N1502" s="1079"/>
      <c r="O1502" s="1079"/>
      <c r="P1502" s="1079"/>
      <c r="Q1502" s="1079"/>
      <c r="R1502" s="1079"/>
      <c r="S1502" s="1079"/>
      <c r="T1502" s="1079"/>
      <c r="U1502" s="1079"/>
      <c r="V1502" s="1079"/>
      <c r="W1502" s="1079">
        <v>4.2</v>
      </c>
      <c r="X1502" s="1079">
        <v>4.5999999999999996</v>
      </c>
      <c r="Y1502" s="1079">
        <v>3.7</v>
      </c>
      <c r="Z1502" s="1079">
        <v>2.73</v>
      </c>
      <c r="AA1502" s="1079">
        <v>5.6</v>
      </c>
      <c r="AB1502" s="1079">
        <v>6.17</v>
      </c>
      <c r="AC1502" s="1079">
        <v>5</v>
      </c>
      <c r="AD1502" s="1080">
        <v>3.71</v>
      </c>
    </row>
    <row r="1503" spans="1:30" x14ac:dyDescent="0.2">
      <c r="A1503">
        <f t="shared" si="57"/>
        <v>40</v>
      </c>
      <c r="B1503">
        <v>1494</v>
      </c>
      <c r="C1503" s="1078">
        <v>2</v>
      </c>
      <c r="D1503" s="1077" t="s">
        <v>5411</v>
      </c>
      <c r="E1503" s="1077" t="s">
        <v>5486</v>
      </c>
      <c r="F1503" s="1185">
        <v>4</v>
      </c>
      <c r="G1503" s="1079"/>
      <c r="H1503" s="1079"/>
      <c r="I1503" s="1079"/>
      <c r="J1503" s="1079"/>
      <c r="K1503" s="1079"/>
      <c r="L1503" s="1079"/>
      <c r="M1503" s="1079"/>
      <c r="N1503" s="1079"/>
      <c r="O1503" s="1079"/>
      <c r="P1503" s="1079"/>
      <c r="Q1503" s="1079"/>
      <c r="R1503" s="1079"/>
      <c r="S1503" s="1079"/>
      <c r="T1503" s="1079"/>
      <c r="U1503" s="1079"/>
      <c r="V1503" s="1079"/>
      <c r="W1503" s="1079">
        <v>4.2</v>
      </c>
      <c r="X1503" s="1079">
        <v>4.5999999999999996</v>
      </c>
      <c r="Y1503" s="1079">
        <v>3.7</v>
      </c>
      <c r="Z1503" s="1079">
        <v>2.73</v>
      </c>
      <c r="AA1503" s="1079">
        <v>5.6</v>
      </c>
      <c r="AB1503" s="1079">
        <v>6.17</v>
      </c>
      <c r="AC1503" s="1079">
        <v>5</v>
      </c>
      <c r="AD1503" s="1080">
        <v>3.71</v>
      </c>
    </row>
    <row r="1504" spans="1:30" x14ac:dyDescent="0.2">
      <c r="A1504">
        <f t="shared" si="57"/>
        <v>40</v>
      </c>
      <c r="B1504">
        <v>1495</v>
      </c>
      <c r="C1504" s="1078">
        <v>2</v>
      </c>
      <c r="D1504" s="1077" t="s">
        <v>5411</v>
      </c>
      <c r="E1504" s="1077" t="s">
        <v>5487</v>
      </c>
      <c r="F1504" s="1185">
        <v>1</v>
      </c>
      <c r="G1504" s="1079"/>
      <c r="H1504" s="1079"/>
      <c r="I1504" s="1079"/>
      <c r="J1504" s="1079"/>
      <c r="K1504" s="1079"/>
      <c r="L1504" s="1079"/>
      <c r="M1504" s="1079"/>
      <c r="N1504" s="1079"/>
      <c r="O1504" s="1079"/>
      <c r="P1504" s="1079"/>
      <c r="Q1504" s="1079"/>
      <c r="R1504" s="1079"/>
      <c r="S1504" s="1079"/>
      <c r="T1504" s="1079"/>
      <c r="U1504" s="1079"/>
      <c r="V1504" s="1079"/>
      <c r="W1504" s="1079">
        <v>5.4</v>
      </c>
      <c r="X1504" s="1079">
        <v>4.41</v>
      </c>
      <c r="Y1504" s="1079">
        <v>5</v>
      </c>
      <c r="Z1504" s="1079">
        <v>2.78</v>
      </c>
      <c r="AA1504" s="1079">
        <v>7.3</v>
      </c>
      <c r="AB1504" s="1079">
        <v>5.95</v>
      </c>
      <c r="AC1504" s="1079">
        <v>6.7</v>
      </c>
      <c r="AD1504" s="1080">
        <v>3.58</v>
      </c>
    </row>
    <row r="1505" spans="1:30" x14ac:dyDescent="0.2">
      <c r="A1505">
        <f t="shared" si="57"/>
        <v>40</v>
      </c>
      <c r="B1505">
        <v>1496</v>
      </c>
      <c r="C1505" s="1078">
        <v>2</v>
      </c>
      <c r="D1505" s="1077" t="s">
        <v>5411</v>
      </c>
      <c r="E1505" s="1077" t="s">
        <v>5488</v>
      </c>
      <c r="F1505" s="1185">
        <v>4</v>
      </c>
      <c r="G1505" s="1079"/>
      <c r="H1505" s="1079"/>
      <c r="I1505" s="1079"/>
      <c r="J1505" s="1079"/>
      <c r="K1505" s="1079"/>
      <c r="L1505" s="1079"/>
      <c r="M1505" s="1079"/>
      <c r="N1505" s="1079"/>
      <c r="O1505" s="1079"/>
      <c r="P1505" s="1079"/>
      <c r="Q1505" s="1079"/>
      <c r="R1505" s="1079"/>
      <c r="S1505" s="1079"/>
      <c r="T1505" s="1079"/>
      <c r="U1505" s="1079"/>
      <c r="V1505" s="1079"/>
      <c r="W1505" s="1079">
        <v>6.6</v>
      </c>
      <c r="X1505" s="1079">
        <v>4.5999999999999996</v>
      </c>
      <c r="Y1505" s="1079">
        <v>6</v>
      </c>
      <c r="Z1505" s="1079">
        <v>2.91</v>
      </c>
      <c r="AA1505" s="1079">
        <v>8.6999999999999993</v>
      </c>
      <c r="AB1505" s="1079">
        <v>5.99</v>
      </c>
      <c r="AC1505" s="1079">
        <v>7.9</v>
      </c>
      <c r="AD1505" s="1080">
        <v>3.81</v>
      </c>
    </row>
    <row r="1506" spans="1:30" x14ac:dyDescent="0.2">
      <c r="A1506">
        <f t="shared" si="57"/>
        <v>40</v>
      </c>
      <c r="B1506">
        <v>1497</v>
      </c>
      <c r="C1506" s="1078">
        <v>2</v>
      </c>
      <c r="D1506" s="1077" t="s">
        <v>5411</v>
      </c>
      <c r="E1506" s="1077" t="s">
        <v>5489</v>
      </c>
      <c r="F1506" s="1185">
        <v>4</v>
      </c>
      <c r="G1506" s="1079"/>
      <c r="H1506" s="1079"/>
      <c r="I1506" s="1079"/>
      <c r="J1506" s="1079"/>
      <c r="K1506" s="1079"/>
      <c r="L1506" s="1079"/>
      <c r="M1506" s="1079"/>
      <c r="N1506" s="1079"/>
      <c r="O1506" s="1079"/>
      <c r="P1506" s="1079"/>
      <c r="Q1506" s="1079"/>
      <c r="R1506" s="1079"/>
      <c r="S1506" s="1079"/>
      <c r="T1506" s="1079"/>
      <c r="U1506" s="1079"/>
      <c r="V1506" s="1079"/>
      <c r="W1506" s="1079">
        <v>6.6</v>
      </c>
      <c r="X1506" s="1079">
        <v>4.5999999999999996</v>
      </c>
      <c r="Y1506" s="1079">
        <v>6</v>
      </c>
      <c r="Z1506" s="1079">
        <v>2.91</v>
      </c>
      <c r="AA1506" s="1079">
        <v>8.6999999999999993</v>
      </c>
      <c r="AB1506" s="1079">
        <v>5.99</v>
      </c>
      <c r="AC1506" s="1079">
        <v>7.9</v>
      </c>
      <c r="AD1506" s="1080">
        <v>3.81</v>
      </c>
    </row>
    <row r="1507" spans="1:30" x14ac:dyDescent="0.2">
      <c r="A1507">
        <f t="shared" si="57"/>
        <v>40</v>
      </c>
      <c r="B1507">
        <v>1498</v>
      </c>
      <c r="C1507" s="1078">
        <v>2</v>
      </c>
      <c r="D1507" s="1077" t="s">
        <v>5411</v>
      </c>
      <c r="E1507" s="1077" t="s">
        <v>5490</v>
      </c>
      <c r="F1507" s="1185">
        <v>1</v>
      </c>
      <c r="G1507" s="1079"/>
      <c r="H1507" s="1079"/>
      <c r="I1507" s="1079"/>
      <c r="J1507" s="1079"/>
      <c r="K1507" s="1079"/>
      <c r="L1507" s="1079"/>
      <c r="M1507" s="1079"/>
      <c r="N1507" s="1079"/>
      <c r="O1507" s="1079"/>
      <c r="P1507" s="1079"/>
      <c r="Q1507" s="1079"/>
      <c r="R1507" s="1079"/>
      <c r="S1507" s="1079"/>
      <c r="T1507" s="1079"/>
      <c r="U1507" s="1079"/>
      <c r="V1507" s="1079"/>
      <c r="W1507" s="1079">
        <v>7.3</v>
      </c>
      <c r="X1507" s="1079">
        <v>4.7</v>
      </c>
      <c r="Y1507" s="1079">
        <v>6.8</v>
      </c>
      <c r="Z1507" s="1079">
        <v>2.81</v>
      </c>
      <c r="AA1507" s="1079">
        <v>9.5</v>
      </c>
      <c r="AB1507" s="1079">
        <v>6.18</v>
      </c>
      <c r="AC1507" s="1079">
        <v>8.8000000000000007</v>
      </c>
      <c r="AD1507" s="1080">
        <v>3.59</v>
      </c>
    </row>
    <row r="1508" spans="1:30" x14ac:dyDescent="0.2">
      <c r="A1508">
        <f t="shared" si="57"/>
        <v>40</v>
      </c>
      <c r="B1508">
        <v>1499</v>
      </c>
      <c r="C1508" s="1078">
        <v>2</v>
      </c>
      <c r="D1508" s="1077" t="s">
        <v>5411</v>
      </c>
      <c r="E1508" s="1077" t="s">
        <v>5491</v>
      </c>
      <c r="F1508" s="1185">
        <v>4</v>
      </c>
      <c r="G1508" s="1079"/>
      <c r="H1508" s="1079"/>
      <c r="I1508" s="1079"/>
      <c r="J1508" s="1079"/>
      <c r="K1508" s="1079"/>
      <c r="L1508" s="1079"/>
      <c r="M1508" s="1079"/>
      <c r="N1508" s="1079"/>
      <c r="O1508" s="1079"/>
      <c r="P1508" s="1079"/>
      <c r="Q1508" s="1079"/>
      <c r="R1508" s="1079"/>
      <c r="S1508" s="1079"/>
      <c r="T1508" s="1079"/>
      <c r="U1508" s="1079"/>
      <c r="V1508" s="1079"/>
      <c r="W1508" s="1079">
        <v>7.6</v>
      </c>
      <c r="X1508" s="1079">
        <v>4.67</v>
      </c>
      <c r="Y1508" s="1079">
        <v>6.9</v>
      </c>
      <c r="Z1508" s="1079">
        <v>3.07</v>
      </c>
      <c r="AA1508" s="1079">
        <v>10</v>
      </c>
      <c r="AB1508" s="1079">
        <v>6.03</v>
      </c>
      <c r="AC1508" s="1079">
        <v>9.1</v>
      </c>
      <c r="AD1508" s="1080">
        <v>3.89</v>
      </c>
    </row>
    <row r="1509" spans="1:30" x14ac:dyDescent="0.2">
      <c r="A1509">
        <f t="shared" si="57"/>
        <v>40</v>
      </c>
      <c r="B1509">
        <v>1500</v>
      </c>
      <c r="C1509" s="1078">
        <v>2</v>
      </c>
      <c r="D1509" s="1077" t="s">
        <v>5411</v>
      </c>
      <c r="E1509" s="1077" t="s">
        <v>5492</v>
      </c>
      <c r="F1509" s="1185">
        <v>4</v>
      </c>
      <c r="G1509" s="1079"/>
      <c r="H1509" s="1079"/>
      <c r="I1509" s="1079"/>
      <c r="J1509" s="1079"/>
      <c r="K1509" s="1079"/>
      <c r="L1509" s="1079"/>
      <c r="M1509" s="1079"/>
      <c r="N1509" s="1079"/>
      <c r="O1509" s="1079"/>
      <c r="P1509" s="1079"/>
      <c r="Q1509" s="1079"/>
      <c r="R1509" s="1079"/>
      <c r="S1509" s="1079"/>
      <c r="T1509" s="1079"/>
      <c r="U1509" s="1079"/>
      <c r="V1509" s="1079"/>
      <c r="W1509" s="1079">
        <v>7.6</v>
      </c>
      <c r="X1509" s="1079">
        <v>4.67</v>
      </c>
      <c r="Y1509" s="1079">
        <v>6.9</v>
      </c>
      <c r="Z1509" s="1079">
        <v>3.07</v>
      </c>
      <c r="AA1509" s="1079">
        <v>10</v>
      </c>
      <c r="AB1509" s="1079">
        <v>6.03</v>
      </c>
      <c r="AC1509" s="1079">
        <v>9.1</v>
      </c>
      <c r="AD1509" s="1080">
        <v>3.89</v>
      </c>
    </row>
    <row r="1510" spans="1:30" x14ac:dyDescent="0.2">
      <c r="A1510">
        <f t="shared" si="57"/>
        <v>40</v>
      </c>
      <c r="B1510">
        <v>1501</v>
      </c>
      <c r="C1510" s="1078">
        <v>2</v>
      </c>
      <c r="D1510" s="1077" t="s">
        <v>5411</v>
      </c>
      <c r="E1510" s="1077" t="s">
        <v>5493</v>
      </c>
      <c r="F1510" s="1185">
        <v>1</v>
      </c>
      <c r="G1510" s="1079"/>
      <c r="H1510" s="1079"/>
      <c r="I1510" s="1079"/>
      <c r="J1510" s="1079"/>
      <c r="K1510" s="1079"/>
      <c r="L1510" s="1079"/>
      <c r="M1510" s="1079"/>
      <c r="N1510" s="1079"/>
      <c r="O1510" s="1079"/>
      <c r="P1510" s="1079"/>
      <c r="Q1510" s="1079"/>
      <c r="R1510" s="1079"/>
      <c r="S1510" s="1079"/>
      <c r="T1510" s="1079"/>
      <c r="U1510" s="1079"/>
      <c r="V1510" s="1079"/>
      <c r="W1510" s="1079">
        <v>10</v>
      </c>
      <c r="X1510" s="1079">
        <v>4.9000000000000004</v>
      </c>
      <c r="Y1510" s="1079">
        <v>9.3000000000000007</v>
      </c>
      <c r="Z1510" s="1079">
        <v>3.04</v>
      </c>
      <c r="AA1510" s="1079">
        <v>12.7</v>
      </c>
      <c r="AB1510" s="1079">
        <v>6.26</v>
      </c>
      <c r="AC1510" s="1079">
        <v>11.8</v>
      </c>
      <c r="AD1510" s="1080">
        <v>3.74</v>
      </c>
    </row>
    <row r="1511" spans="1:30" x14ac:dyDescent="0.2">
      <c r="A1511">
        <f t="shared" si="57"/>
        <v>40</v>
      </c>
      <c r="B1511">
        <v>1502</v>
      </c>
      <c r="C1511" s="1078">
        <v>2</v>
      </c>
      <c r="D1511" s="1077" t="s">
        <v>5411</v>
      </c>
      <c r="E1511" s="1077" t="s">
        <v>5494</v>
      </c>
      <c r="F1511" s="1185">
        <v>4</v>
      </c>
      <c r="G1511" s="1079"/>
      <c r="H1511" s="1079"/>
      <c r="I1511" s="1079"/>
      <c r="J1511" s="1079"/>
      <c r="K1511" s="1079"/>
      <c r="L1511" s="1079"/>
      <c r="M1511" s="1079"/>
      <c r="N1511" s="1079"/>
      <c r="O1511" s="1079"/>
      <c r="P1511" s="1079"/>
      <c r="Q1511" s="1079"/>
      <c r="R1511" s="1079"/>
      <c r="S1511" s="1079"/>
      <c r="T1511" s="1079"/>
      <c r="U1511" s="1079"/>
      <c r="V1511" s="1079"/>
      <c r="W1511" s="1079">
        <v>12.05</v>
      </c>
      <c r="X1511" s="1079">
        <v>5.01</v>
      </c>
      <c r="Y1511" s="1079">
        <v>10.199999999999999</v>
      </c>
      <c r="Z1511" s="1079">
        <v>3.13</v>
      </c>
      <c r="AA1511" s="1079">
        <v>15.5</v>
      </c>
      <c r="AB1511" s="1079">
        <v>6.37</v>
      </c>
      <c r="AC1511" s="1079">
        <v>13.6</v>
      </c>
      <c r="AD1511" s="1080">
        <v>3.78</v>
      </c>
    </row>
    <row r="1512" spans="1:30" x14ac:dyDescent="0.2">
      <c r="A1512">
        <f t="shared" si="57"/>
        <v>40</v>
      </c>
      <c r="B1512">
        <v>1503</v>
      </c>
      <c r="C1512" s="1078">
        <v>2</v>
      </c>
      <c r="D1512" s="1077" t="s">
        <v>5411</v>
      </c>
      <c r="E1512" s="1077" t="s">
        <v>5495</v>
      </c>
      <c r="F1512" s="1185">
        <v>4</v>
      </c>
      <c r="G1512" s="1079"/>
      <c r="H1512" s="1079"/>
      <c r="I1512" s="1079"/>
      <c r="J1512" s="1079"/>
      <c r="K1512" s="1079"/>
      <c r="L1512" s="1079"/>
      <c r="M1512" s="1079"/>
      <c r="N1512" s="1079"/>
      <c r="O1512" s="1079"/>
      <c r="P1512" s="1079"/>
      <c r="Q1512" s="1079"/>
      <c r="R1512" s="1079"/>
      <c r="S1512" s="1079"/>
      <c r="T1512" s="1079"/>
      <c r="U1512" s="1079"/>
      <c r="V1512" s="1079"/>
      <c r="W1512" s="1079">
        <v>12.05</v>
      </c>
      <c r="X1512" s="1079">
        <v>5.01</v>
      </c>
      <c r="Y1512" s="1079">
        <v>10.199999999999999</v>
      </c>
      <c r="Z1512" s="1079">
        <v>3.13</v>
      </c>
      <c r="AA1512" s="1079">
        <v>15.5</v>
      </c>
      <c r="AB1512" s="1079">
        <v>6.37</v>
      </c>
      <c r="AC1512" s="1079">
        <v>13.6</v>
      </c>
      <c r="AD1512" s="1080">
        <v>3.78</v>
      </c>
    </row>
    <row r="1513" spans="1:30" x14ac:dyDescent="0.2">
      <c r="A1513">
        <f t="shared" si="57"/>
        <v>40</v>
      </c>
      <c r="B1513">
        <v>1504</v>
      </c>
      <c r="C1513" s="1078">
        <v>2</v>
      </c>
      <c r="D1513" s="1077" t="s">
        <v>5411</v>
      </c>
      <c r="E1513" s="1077" t="s">
        <v>5496</v>
      </c>
      <c r="F1513" s="1185">
        <v>1</v>
      </c>
      <c r="G1513" s="1079"/>
      <c r="H1513" s="1079"/>
      <c r="I1513" s="1079"/>
      <c r="J1513" s="1079"/>
      <c r="K1513" s="1079"/>
      <c r="L1513" s="1079"/>
      <c r="M1513" s="1079"/>
      <c r="N1513" s="1079"/>
      <c r="O1513" s="1079"/>
      <c r="P1513" s="1079"/>
      <c r="Q1513" s="1079"/>
      <c r="R1513" s="1079"/>
      <c r="S1513" s="1079"/>
      <c r="T1513" s="1079"/>
      <c r="U1513" s="1079"/>
      <c r="V1513" s="1079"/>
      <c r="W1513" s="1079">
        <v>12.5</v>
      </c>
      <c r="X1513" s="1079">
        <v>4.71</v>
      </c>
      <c r="Y1513" s="1079">
        <v>11.9</v>
      </c>
      <c r="Z1513" s="1079">
        <v>3.01</v>
      </c>
      <c r="AA1513" s="1079">
        <v>16.399999999999999</v>
      </c>
      <c r="AB1513" s="1079">
        <v>6.17</v>
      </c>
      <c r="AC1513" s="1079">
        <v>15.1</v>
      </c>
      <c r="AD1513" s="1080">
        <v>3.73</v>
      </c>
    </row>
    <row r="1514" spans="1:30" x14ac:dyDescent="0.2">
      <c r="A1514">
        <f t="shared" si="57"/>
        <v>40</v>
      </c>
      <c r="B1514">
        <v>1505</v>
      </c>
      <c r="C1514" s="1078">
        <v>2</v>
      </c>
      <c r="D1514" s="1077" t="s">
        <v>5411</v>
      </c>
      <c r="E1514" s="1077" t="s">
        <v>5497</v>
      </c>
      <c r="F1514" s="1185">
        <v>4</v>
      </c>
      <c r="G1514" s="1079"/>
      <c r="H1514" s="1079"/>
      <c r="I1514" s="1079"/>
      <c r="J1514" s="1079"/>
      <c r="K1514" s="1079"/>
      <c r="L1514" s="1079"/>
      <c r="M1514" s="1079"/>
      <c r="N1514" s="1079"/>
      <c r="O1514" s="1079"/>
      <c r="P1514" s="1079"/>
      <c r="Q1514" s="1079"/>
      <c r="R1514" s="1079"/>
      <c r="S1514" s="1079"/>
      <c r="T1514" s="1079"/>
      <c r="U1514" s="1079"/>
      <c r="V1514" s="1079"/>
      <c r="W1514" s="1079">
        <v>13.5</v>
      </c>
      <c r="X1514" s="1079">
        <v>4.8600000000000003</v>
      </c>
      <c r="Y1514" s="1079">
        <v>10.199999999999999</v>
      </c>
      <c r="Z1514" s="1079">
        <v>3.18</v>
      </c>
      <c r="AA1514" s="1079">
        <v>22.6</v>
      </c>
      <c r="AB1514" s="1079">
        <v>6.29</v>
      </c>
      <c r="AC1514" s="1079">
        <v>13.7</v>
      </c>
      <c r="AD1514" s="1080">
        <v>3.81</v>
      </c>
    </row>
    <row r="1515" spans="1:30" x14ac:dyDescent="0.2">
      <c r="A1515">
        <f t="shared" si="57"/>
        <v>40</v>
      </c>
      <c r="B1515">
        <v>1506</v>
      </c>
      <c r="C1515" s="1078">
        <v>2</v>
      </c>
      <c r="D1515" s="1077" t="s">
        <v>5411</v>
      </c>
      <c r="E1515" s="1077" t="s">
        <v>5498</v>
      </c>
      <c r="F1515" s="1185">
        <v>4</v>
      </c>
      <c r="G1515" s="1079"/>
      <c r="H1515" s="1079"/>
      <c r="I1515" s="1079"/>
      <c r="J1515" s="1079"/>
      <c r="K1515" s="1079"/>
      <c r="L1515" s="1079"/>
      <c r="M1515" s="1079"/>
      <c r="N1515" s="1079"/>
      <c r="O1515" s="1079"/>
      <c r="P1515" s="1079"/>
      <c r="Q1515" s="1079"/>
      <c r="R1515" s="1079"/>
      <c r="S1515" s="1079"/>
      <c r="T1515" s="1079"/>
      <c r="U1515" s="1079"/>
      <c r="V1515" s="1079"/>
      <c r="W1515" s="1079">
        <v>13.5</v>
      </c>
      <c r="X1515" s="1079">
        <v>4.8600000000000003</v>
      </c>
      <c r="Y1515" s="1079">
        <v>10.199999999999999</v>
      </c>
      <c r="Z1515" s="1079">
        <v>3.18</v>
      </c>
      <c r="AA1515" s="1079">
        <v>22.6</v>
      </c>
      <c r="AB1515" s="1079">
        <v>6.29</v>
      </c>
      <c r="AC1515" s="1079">
        <v>13.7</v>
      </c>
      <c r="AD1515" s="1080">
        <v>3.81</v>
      </c>
    </row>
    <row r="1516" spans="1:30" x14ac:dyDescent="0.2">
      <c r="A1516">
        <f t="shared" si="57"/>
        <v>40</v>
      </c>
      <c r="B1516">
        <v>1507</v>
      </c>
      <c r="C1516" s="1078">
        <v>2</v>
      </c>
      <c r="D1516" s="1077" t="s">
        <v>5411</v>
      </c>
      <c r="E1516" s="1077" t="s">
        <v>5499</v>
      </c>
      <c r="F1516" s="1185">
        <v>1</v>
      </c>
      <c r="G1516" s="1079"/>
      <c r="H1516" s="1079"/>
      <c r="I1516" s="1079"/>
      <c r="J1516" s="1079"/>
      <c r="K1516" s="1079"/>
      <c r="L1516" s="1079"/>
      <c r="M1516" s="1079"/>
      <c r="N1516" s="1079"/>
      <c r="O1516" s="1079"/>
      <c r="P1516" s="1079"/>
      <c r="Q1516" s="1079"/>
      <c r="R1516" s="1079"/>
      <c r="S1516" s="1079"/>
      <c r="T1516" s="1079"/>
      <c r="U1516" s="1079"/>
      <c r="V1516" s="1079"/>
      <c r="W1516" s="1079">
        <v>16.8</v>
      </c>
      <c r="X1516" s="1079">
        <v>4.7</v>
      </c>
      <c r="Y1516" s="1079">
        <v>15.8</v>
      </c>
      <c r="Z1516" s="1079">
        <v>2.98</v>
      </c>
      <c r="AA1516" s="1079">
        <v>21.3</v>
      </c>
      <c r="AB1516" s="1079">
        <v>5.64</v>
      </c>
      <c r="AC1516" s="1079">
        <v>20.6</v>
      </c>
      <c r="AD1516" s="1080">
        <v>3.7</v>
      </c>
    </row>
    <row r="1517" spans="1:30" x14ac:dyDescent="0.2">
      <c r="A1517">
        <f t="shared" si="57"/>
        <v>40</v>
      </c>
      <c r="B1517">
        <v>1508</v>
      </c>
      <c r="C1517" s="1078">
        <v>3</v>
      </c>
      <c r="D1517" s="1077" t="s">
        <v>5411</v>
      </c>
      <c r="E1517" s="1077" t="s">
        <v>5554</v>
      </c>
      <c r="F1517" s="1185">
        <v>1</v>
      </c>
      <c r="G1517" s="1079"/>
      <c r="H1517" s="1079"/>
      <c r="I1517" s="1079"/>
      <c r="J1517" s="1079"/>
      <c r="K1517" s="1079"/>
      <c r="L1517" s="1079"/>
      <c r="M1517" s="1079"/>
      <c r="N1517" s="1079"/>
      <c r="O1517" s="1079"/>
      <c r="P1517" s="1079"/>
      <c r="Q1517" s="1079"/>
      <c r="R1517" s="1079"/>
      <c r="S1517" s="1079"/>
      <c r="T1517" s="1079"/>
      <c r="U1517" s="1079"/>
      <c r="V1517" s="1079"/>
      <c r="W1517" s="1079">
        <v>21.5</v>
      </c>
      <c r="X1517" s="1079">
        <v>4.66</v>
      </c>
      <c r="Y1517" s="1079">
        <v>20.100000000000001</v>
      </c>
      <c r="Z1517" s="1079">
        <v>2.84</v>
      </c>
      <c r="AA1517" s="1079">
        <v>28.3</v>
      </c>
      <c r="AB1517" s="1079">
        <v>5.97</v>
      </c>
      <c r="AC1517" s="1079">
        <v>25.7</v>
      </c>
      <c r="AD1517" s="1080">
        <v>3.56</v>
      </c>
    </row>
    <row r="1518" spans="1:30" x14ac:dyDescent="0.2">
      <c r="A1518">
        <f t="shared" si="57"/>
        <v>40</v>
      </c>
      <c r="B1518">
        <v>1509</v>
      </c>
      <c r="C1518" s="1078">
        <v>3</v>
      </c>
      <c r="D1518" s="1077" t="s">
        <v>5411</v>
      </c>
      <c r="E1518" s="1077" t="s">
        <v>5500</v>
      </c>
      <c r="F1518" s="1185">
        <v>1</v>
      </c>
      <c r="G1518" s="1079"/>
      <c r="H1518" s="1079"/>
      <c r="I1518" s="1079"/>
      <c r="J1518" s="1079"/>
      <c r="K1518" s="1079"/>
      <c r="L1518" s="1079"/>
      <c r="M1518" s="1079"/>
      <c r="N1518" s="1079"/>
      <c r="O1518" s="1079"/>
      <c r="P1518" s="1079"/>
      <c r="Q1518" s="1079"/>
      <c r="R1518" s="1079"/>
      <c r="S1518" s="1079"/>
      <c r="T1518" s="1079"/>
      <c r="U1518" s="1079"/>
      <c r="V1518" s="1079"/>
      <c r="W1518" s="1079">
        <v>27.41</v>
      </c>
      <c r="X1518" s="1079">
        <v>4.34</v>
      </c>
      <c r="Y1518" s="1079">
        <v>24.5</v>
      </c>
      <c r="Z1518" s="1079">
        <v>2.95</v>
      </c>
      <c r="AA1518" s="1079">
        <v>36.700000000000003</v>
      </c>
      <c r="AB1518" s="1079">
        <v>5.46</v>
      </c>
      <c r="AC1518" s="1079">
        <v>33.4</v>
      </c>
      <c r="AD1518" s="1080">
        <v>3.66</v>
      </c>
    </row>
    <row r="1519" spans="1:30" x14ac:dyDescent="0.2">
      <c r="A1519">
        <f t="shared" si="57"/>
        <v>40</v>
      </c>
      <c r="B1519">
        <v>1510</v>
      </c>
      <c r="C1519" s="1078">
        <v>3</v>
      </c>
      <c r="D1519" s="1077" t="s">
        <v>5411</v>
      </c>
      <c r="E1519" s="1077" t="s">
        <v>5555</v>
      </c>
      <c r="F1519" s="1185">
        <v>1</v>
      </c>
      <c r="G1519" s="1079"/>
      <c r="H1519" s="1079"/>
      <c r="I1519" s="1079"/>
      <c r="J1519" s="1079"/>
      <c r="K1519" s="1079"/>
      <c r="L1519" s="1079"/>
      <c r="M1519" s="1079"/>
      <c r="N1519" s="1079"/>
      <c r="O1519" s="1079"/>
      <c r="P1519" s="1079"/>
      <c r="Q1519" s="1079"/>
      <c r="R1519" s="1079"/>
      <c r="S1519" s="1079"/>
      <c r="T1519" s="1079"/>
      <c r="U1519" s="1079"/>
      <c r="V1519" s="1079"/>
      <c r="W1519" s="1079">
        <v>29.69</v>
      </c>
      <c r="X1519" s="1079">
        <v>4.8499999999999996</v>
      </c>
      <c r="Y1519" s="1079">
        <v>26.69</v>
      </c>
      <c r="Z1519" s="1079">
        <v>2.79</v>
      </c>
      <c r="AA1519" s="1079">
        <v>38.6</v>
      </c>
      <c r="AB1519" s="1079">
        <v>6.24</v>
      </c>
      <c r="AC1519" s="1079">
        <v>34.700000000000003</v>
      </c>
      <c r="AD1519" s="1080">
        <v>3.67</v>
      </c>
    </row>
    <row r="1520" spans="1:30" x14ac:dyDescent="0.2">
      <c r="A1520">
        <f t="shared" si="57"/>
        <v>40</v>
      </c>
      <c r="B1520">
        <v>1511</v>
      </c>
      <c r="C1520" s="1078">
        <v>3</v>
      </c>
      <c r="D1520" s="1077" t="s">
        <v>5411</v>
      </c>
      <c r="E1520" s="1077" t="s">
        <v>5471</v>
      </c>
      <c r="F1520" s="1079">
        <v>3</v>
      </c>
      <c r="G1520" s="1079"/>
      <c r="H1520" s="1079"/>
      <c r="I1520" s="1079"/>
      <c r="J1520" s="1079"/>
      <c r="K1520" s="1079"/>
      <c r="L1520" s="1079"/>
      <c r="M1520" s="1079"/>
      <c r="N1520" s="1079"/>
      <c r="O1520" s="1079"/>
      <c r="P1520" s="1079"/>
      <c r="Q1520" s="1079"/>
      <c r="R1520" s="1079"/>
      <c r="S1520" s="1079"/>
      <c r="T1520" s="1079"/>
      <c r="U1520" s="1079"/>
      <c r="V1520" s="1079"/>
      <c r="W1520" s="1079">
        <v>22.42</v>
      </c>
      <c r="X1520" s="1079">
        <v>4.58</v>
      </c>
      <c r="Y1520" s="1079">
        <v>21</v>
      </c>
      <c r="Z1520" s="1079">
        <v>2.7</v>
      </c>
      <c r="AA1520" s="1079">
        <v>30.3</v>
      </c>
      <c r="AB1520" s="1079">
        <v>6.2</v>
      </c>
      <c r="AC1520" s="1079">
        <v>27.1</v>
      </c>
      <c r="AD1520" s="1080">
        <v>3.8</v>
      </c>
    </row>
    <row r="1521" spans="1:30" x14ac:dyDescent="0.2">
      <c r="A1521">
        <f t="shared" si="57"/>
        <v>40</v>
      </c>
      <c r="B1521">
        <v>1512</v>
      </c>
      <c r="C1521" s="1078">
        <v>3</v>
      </c>
      <c r="D1521" s="1077" t="s">
        <v>5411</v>
      </c>
      <c r="E1521" s="1077" t="s">
        <v>5472</v>
      </c>
      <c r="F1521" s="1079">
        <v>3</v>
      </c>
      <c r="G1521" s="1079"/>
      <c r="H1521" s="1079"/>
      <c r="I1521" s="1079"/>
      <c r="J1521" s="1079"/>
      <c r="K1521" s="1079"/>
      <c r="L1521" s="1079"/>
      <c r="M1521" s="1079"/>
      <c r="N1521" s="1079"/>
      <c r="O1521" s="1079"/>
      <c r="P1521" s="1079"/>
      <c r="Q1521" s="1079"/>
      <c r="R1521" s="1079"/>
      <c r="S1521" s="1079"/>
      <c r="T1521" s="1079"/>
      <c r="U1521" s="1079"/>
      <c r="V1521" s="1079"/>
      <c r="W1521" s="1079">
        <v>26.86</v>
      </c>
      <c r="X1521" s="1079">
        <v>4.7300000000000004</v>
      </c>
      <c r="Y1521" s="1079">
        <v>25.13</v>
      </c>
      <c r="Z1521" s="1079">
        <v>2.96</v>
      </c>
      <c r="AA1521" s="1079">
        <v>35.090000000000003</v>
      </c>
      <c r="AB1521" s="1079">
        <v>5.9</v>
      </c>
      <c r="AC1521" s="1079">
        <v>32.4</v>
      </c>
      <c r="AD1521" s="1080">
        <v>3.8</v>
      </c>
    </row>
    <row r="1522" spans="1:30" x14ac:dyDescent="0.2">
      <c r="A1522">
        <f t="shared" si="57"/>
        <v>40</v>
      </c>
      <c r="B1522">
        <v>1513</v>
      </c>
      <c r="C1522" s="1078">
        <v>3</v>
      </c>
      <c r="D1522" s="1077" t="s">
        <v>5411</v>
      </c>
      <c r="E1522" s="1077" t="s">
        <v>5473</v>
      </c>
      <c r="F1522" s="1079">
        <v>3</v>
      </c>
      <c r="G1522" s="1079"/>
      <c r="H1522" s="1079"/>
      <c r="I1522" s="1079"/>
      <c r="J1522" s="1079"/>
      <c r="K1522" s="1079"/>
      <c r="L1522" s="1079"/>
      <c r="M1522" s="1079"/>
      <c r="N1522" s="1079"/>
      <c r="O1522" s="1079"/>
      <c r="P1522" s="1079"/>
      <c r="Q1522" s="1079"/>
      <c r="R1522" s="1079"/>
      <c r="S1522" s="1079"/>
      <c r="T1522" s="1079"/>
      <c r="U1522" s="1079"/>
      <c r="V1522" s="1079"/>
      <c r="W1522" s="1079">
        <v>29.6</v>
      </c>
      <c r="X1522" s="1079">
        <v>4.5999999999999996</v>
      </c>
      <c r="Y1522" s="1079">
        <v>27.9</v>
      </c>
      <c r="Z1522" s="1079">
        <v>2.96</v>
      </c>
      <c r="AA1522" s="1079">
        <v>38.700000000000003</v>
      </c>
      <c r="AB1522" s="1079">
        <v>5.9</v>
      </c>
      <c r="AC1522" s="1079">
        <v>35.5</v>
      </c>
      <c r="AD1522" s="1080">
        <v>3.8</v>
      </c>
    </row>
    <row r="1523" spans="1:30" x14ac:dyDescent="0.2">
      <c r="A1523">
        <f t="shared" si="57"/>
        <v>40</v>
      </c>
      <c r="B1523">
        <v>1514</v>
      </c>
      <c r="C1523" s="1078">
        <v>3</v>
      </c>
      <c r="D1523" s="1077" t="s">
        <v>5411</v>
      </c>
      <c r="E1523" s="1077" t="s">
        <v>5474</v>
      </c>
      <c r="F1523" s="1079">
        <v>3</v>
      </c>
      <c r="G1523" s="1079"/>
      <c r="H1523" s="1079"/>
      <c r="I1523" s="1079"/>
      <c r="J1523" s="1079"/>
      <c r="K1523" s="1079"/>
      <c r="L1523" s="1079"/>
      <c r="M1523" s="1079"/>
      <c r="N1523" s="1079"/>
      <c r="O1523" s="1079"/>
      <c r="P1523" s="1079"/>
      <c r="Q1523" s="1079"/>
      <c r="R1523" s="1079"/>
      <c r="S1523" s="1079"/>
      <c r="T1523" s="1079"/>
      <c r="U1523" s="1079"/>
      <c r="V1523" s="1079"/>
      <c r="W1523" s="1079">
        <v>33.299999999999997</v>
      </c>
      <c r="X1523" s="1079">
        <v>4.18</v>
      </c>
      <c r="Y1523" s="1079">
        <v>31.13</v>
      </c>
      <c r="Z1523" s="1079">
        <v>2.9</v>
      </c>
      <c r="AA1523" s="1079">
        <v>43.7</v>
      </c>
      <c r="AB1523" s="1079">
        <v>5.91</v>
      </c>
      <c r="AC1523" s="1079">
        <v>40.200000000000003</v>
      </c>
      <c r="AD1523" s="1080">
        <v>3.8</v>
      </c>
    </row>
    <row r="1524" spans="1:30" x14ac:dyDescent="0.2">
      <c r="A1524">
        <f t="shared" si="57"/>
        <v>40</v>
      </c>
      <c r="B1524">
        <v>1515</v>
      </c>
      <c r="C1524" s="1078">
        <v>3</v>
      </c>
      <c r="D1524" s="1077" t="s">
        <v>5411</v>
      </c>
      <c r="E1524" s="1077" t="s">
        <v>5475</v>
      </c>
      <c r="F1524" s="1079">
        <v>3</v>
      </c>
      <c r="G1524" s="1079"/>
      <c r="H1524" s="1079"/>
      <c r="I1524" s="1079"/>
      <c r="J1524" s="1079"/>
      <c r="K1524" s="1079"/>
      <c r="L1524" s="1079"/>
      <c r="M1524" s="1079"/>
      <c r="N1524" s="1079"/>
      <c r="O1524" s="1079"/>
      <c r="P1524" s="1079"/>
      <c r="Q1524" s="1079"/>
      <c r="R1524" s="1079"/>
      <c r="S1524" s="1079"/>
      <c r="T1524" s="1079"/>
      <c r="U1524" s="1079"/>
      <c r="V1524" s="1079"/>
      <c r="W1524" s="1079">
        <v>36.9</v>
      </c>
      <c r="X1524" s="1079">
        <v>4.5999999999999996</v>
      </c>
      <c r="Y1524" s="1079">
        <v>35.200000000000003</v>
      </c>
      <c r="Z1524" s="1079">
        <v>3</v>
      </c>
      <c r="AA1524" s="1079">
        <v>46.2</v>
      </c>
      <c r="AB1524" s="1079">
        <v>6.01</v>
      </c>
      <c r="AC1524" s="1079">
        <v>43.7</v>
      </c>
      <c r="AD1524" s="1080">
        <v>3.81</v>
      </c>
    </row>
    <row r="1525" spans="1:30" x14ac:dyDescent="0.2">
      <c r="A1525">
        <f t="shared" si="57"/>
        <v>40</v>
      </c>
      <c r="B1525">
        <v>1516</v>
      </c>
      <c r="C1525" s="1078">
        <v>3</v>
      </c>
      <c r="D1525" s="1077" t="s">
        <v>5411</v>
      </c>
      <c r="E1525" s="1077" t="s">
        <v>5476</v>
      </c>
      <c r="F1525" s="1079">
        <v>3</v>
      </c>
      <c r="G1525" s="1079"/>
      <c r="H1525" s="1079"/>
      <c r="I1525" s="1079"/>
      <c r="J1525" s="1079"/>
      <c r="K1525" s="1079"/>
      <c r="L1525" s="1079"/>
      <c r="M1525" s="1079"/>
      <c r="N1525" s="1079"/>
      <c r="O1525" s="1079"/>
      <c r="P1525" s="1079"/>
      <c r="Q1525" s="1079"/>
      <c r="R1525" s="1079"/>
      <c r="S1525" s="1079"/>
      <c r="T1525" s="1079"/>
      <c r="U1525" s="1079"/>
      <c r="V1525" s="1079"/>
      <c r="W1525" s="1079">
        <v>40.6</v>
      </c>
      <c r="X1525" s="1079">
        <v>4.4000000000000004</v>
      </c>
      <c r="Y1525" s="1079">
        <v>38.700000000000003</v>
      </c>
      <c r="Z1525" s="1079">
        <v>3</v>
      </c>
      <c r="AA1525" s="1079">
        <v>50.6</v>
      </c>
      <c r="AB1525" s="1079">
        <v>6.01</v>
      </c>
      <c r="AC1525" s="1079">
        <v>48</v>
      </c>
      <c r="AD1525" s="1080">
        <v>3.81</v>
      </c>
    </row>
    <row r="1526" spans="1:30" x14ac:dyDescent="0.2">
      <c r="A1526">
        <f t="shared" si="57"/>
        <v>40</v>
      </c>
      <c r="B1526">
        <v>1517</v>
      </c>
      <c r="C1526" s="1078">
        <v>3</v>
      </c>
      <c r="D1526" s="1077" t="s">
        <v>5411</v>
      </c>
      <c r="E1526" s="1077" t="s">
        <v>5477</v>
      </c>
      <c r="F1526" s="1079">
        <v>3</v>
      </c>
      <c r="G1526" s="1079"/>
      <c r="H1526" s="1079"/>
      <c r="I1526" s="1079"/>
      <c r="J1526" s="1079"/>
      <c r="K1526" s="1079"/>
      <c r="L1526" s="1079"/>
      <c r="M1526" s="1079"/>
      <c r="N1526" s="1079"/>
      <c r="O1526" s="1079"/>
      <c r="P1526" s="1079"/>
      <c r="Q1526" s="1079"/>
      <c r="R1526" s="1079"/>
      <c r="S1526" s="1079"/>
      <c r="T1526" s="1079"/>
      <c r="U1526" s="1079"/>
      <c r="V1526" s="1079"/>
      <c r="W1526" s="1079">
        <v>43.8</v>
      </c>
      <c r="X1526" s="1079">
        <v>3.9</v>
      </c>
      <c r="Y1526" s="1079">
        <v>41.96</v>
      </c>
      <c r="Z1526" s="1079">
        <v>2.8</v>
      </c>
      <c r="AA1526" s="1079">
        <v>53.3</v>
      </c>
      <c r="AB1526" s="1079">
        <v>6.01</v>
      </c>
      <c r="AC1526" s="1079">
        <v>52.5</v>
      </c>
      <c r="AD1526" s="1080">
        <v>3.81</v>
      </c>
    </row>
    <row r="1527" spans="1:30" x14ac:dyDescent="0.2">
      <c r="A1527">
        <f t="shared" si="57"/>
        <v>40</v>
      </c>
      <c r="B1527">
        <v>1518</v>
      </c>
      <c r="C1527" s="1078">
        <v>3</v>
      </c>
      <c r="D1527" s="1077" t="s">
        <v>5411</v>
      </c>
      <c r="E1527" s="1077" t="s">
        <v>5478</v>
      </c>
      <c r="F1527" s="1079">
        <v>3</v>
      </c>
      <c r="G1527" s="1079"/>
      <c r="H1527" s="1079"/>
      <c r="I1527" s="1079"/>
      <c r="J1527" s="1079"/>
      <c r="K1527" s="1079"/>
      <c r="L1527" s="1079"/>
      <c r="M1527" s="1079"/>
      <c r="N1527" s="1079"/>
      <c r="O1527" s="1079"/>
      <c r="P1527" s="1079"/>
      <c r="Q1527" s="1079"/>
      <c r="R1527" s="1079"/>
      <c r="S1527" s="1079"/>
      <c r="T1527" s="1079"/>
      <c r="U1527" s="1079"/>
      <c r="V1527" s="1079"/>
      <c r="W1527" s="1079">
        <v>48.8</v>
      </c>
      <c r="X1527" s="1079">
        <v>4.5</v>
      </c>
      <c r="Y1527" s="1079">
        <v>45.8</v>
      </c>
      <c r="Z1527" s="1079">
        <v>3.02</v>
      </c>
      <c r="AA1527" s="1079">
        <v>62.9</v>
      </c>
      <c r="AB1527" s="1079">
        <v>5.6</v>
      </c>
      <c r="AC1527" s="1079">
        <v>58.4</v>
      </c>
      <c r="AD1527" s="1080">
        <v>3.81</v>
      </c>
    </row>
    <row r="1528" spans="1:30" x14ac:dyDescent="0.2">
      <c r="A1528">
        <f t="shared" si="57"/>
        <v>40</v>
      </c>
      <c r="B1528">
        <v>1519</v>
      </c>
      <c r="C1528" s="1078">
        <v>3</v>
      </c>
      <c r="D1528" s="1077" t="s">
        <v>5411</v>
      </c>
      <c r="E1528" s="1077" t="s">
        <v>5479</v>
      </c>
      <c r="F1528" s="1079">
        <v>3</v>
      </c>
      <c r="G1528" s="1079"/>
      <c r="H1528" s="1079"/>
      <c r="I1528" s="1079"/>
      <c r="J1528" s="1079"/>
      <c r="K1528" s="1079"/>
      <c r="L1528" s="1079"/>
      <c r="M1528" s="1079"/>
      <c r="N1528" s="1079"/>
      <c r="O1528" s="1079"/>
      <c r="P1528" s="1079"/>
      <c r="Q1528" s="1079"/>
      <c r="R1528" s="1079"/>
      <c r="S1528" s="1079"/>
      <c r="T1528" s="1079"/>
      <c r="U1528" s="1079"/>
      <c r="V1528" s="1079"/>
      <c r="W1528" s="1079">
        <v>53.7</v>
      </c>
      <c r="X1528" s="1079">
        <v>4.3</v>
      </c>
      <c r="Y1528" s="1079">
        <v>50.5</v>
      </c>
      <c r="Z1528" s="1079">
        <v>2.86</v>
      </c>
      <c r="AA1528" s="1079">
        <v>69.2</v>
      </c>
      <c r="AB1528" s="1079">
        <v>5.6</v>
      </c>
      <c r="AC1528" s="1079">
        <v>64.400000000000006</v>
      </c>
      <c r="AD1528" s="1080">
        <v>3.81</v>
      </c>
    </row>
    <row r="1529" spans="1:30" x14ac:dyDescent="0.2">
      <c r="A1529">
        <f t="shared" si="57"/>
        <v>40</v>
      </c>
      <c r="B1529">
        <v>1520</v>
      </c>
      <c r="C1529" s="1078">
        <v>3</v>
      </c>
      <c r="D1529" s="1077" t="s">
        <v>5411</v>
      </c>
      <c r="E1529" s="1077" t="s">
        <v>5480</v>
      </c>
      <c r="F1529" s="1079">
        <v>3</v>
      </c>
      <c r="G1529" s="1079"/>
      <c r="H1529" s="1079"/>
      <c r="I1529" s="1079"/>
      <c r="J1529" s="1079"/>
      <c r="K1529" s="1079"/>
      <c r="L1529" s="1079"/>
      <c r="M1529" s="1079"/>
      <c r="N1529" s="1079"/>
      <c r="O1529" s="1079"/>
      <c r="P1529" s="1079"/>
      <c r="Q1529" s="1079"/>
      <c r="R1529" s="1079"/>
      <c r="S1529" s="1079"/>
      <c r="T1529" s="1079"/>
      <c r="U1529" s="1079"/>
      <c r="V1529" s="1079"/>
      <c r="W1529" s="1079">
        <v>58.6</v>
      </c>
      <c r="X1529" s="1079">
        <v>3.9</v>
      </c>
      <c r="Y1529" s="1079">
        <v>55.4</v>
      </c>
      <c r="Z1529" s="1079">
        <v>2.8</v>
      </c>
      <c r="AA1529" s="1079">
        <v>76</v>
      </c>
      <c r="AB1529" s="1079">
        <v>5.6</v>
      </c>
      <c r="AC1529" s="1079">
        <v>70.7</v>
      </c>
      <c r="AD1529" s="1080">
        <v>3.81</v>
      </c>
    </row>
    <row r="1530" spans="1:30" x14ac:dyDescent="0.2">
      <c r="A1530">
        <f t="shared" si="57"/>
        <v>40</v>
      </c>
      <c r="B1530">
        <v>1521</v>
      </c>
      <c r="C1530" s="1078">
        <v>3</v>
      </c>
      <c r="D1530" s="1077" t="s">
        <v>5411</v>
      </c>
      <c r="E1530" s="1077" t="s">
        <v>5481</v>
      </c>
      <c r="F1530" s="1079">
        <v>3</v>
      </c>
      <c r="G1530" s="1079"/>
      <c r="H1530" s="1079"/>
      <c r="I1530" s="1079"/>
      <c r="J1530" s="1079"/>
      <c r="K1530" s="1079"/>
      <c r="L1530" s="1079"/>
      <c r="M1530" s="1079"/>
      <c r="N1530" s="1079"/>
      <c r="O1530" s="1079"/>
      <c r="P1530" s="1079"/>
      <c r="Q1530" s="1079"/>
      <c r="R1530" s="1079"/>
      <c r="S1530" s="1079"/>
      <c r="T1530" s="1079"/>
      <c r="U1530" s="1079"/>
      <c r="V1530" s="1079"/>
      <c r="W1530" s="1079">
        <v>65.900000000000006</v>
      </c>
      <c r="X1530" s="1079">
        <v>4.71</v>
      </c>
      <c r="Y1530" s="1079">
        <v>59</v>
      </c>
      <c r="Z1530" s="1079">
        <v>2.96</v>
      </c>
      <c r="AA1530" s="1079">
        <v>79.760000000000005</v>
      </c>
      <c r="AB1530" s="1079">
        <v>4.9000000000000004</v>
      </c>
      <c r="AC1530" s="1079">
        <v>76.42</v>
      </c>
      <c r="AD1530" s="1080">
        <v>3.5</v>
      </c>
    </row>
    <row r="1531" spans="1:30" x14ac:dyDescent="0.2">
      <c r="A1531">
        <f t="shared" si="57"/>
        <v>40</v>
      </c>
      <c r="B1531">
        <v>1522</v>
      </c>
      <c r="C1531" s="1078">
        <v>3</v>
      </c>
      <c r="D1531" s="1077" t="s">
        <v>5411</v>
      </c>
      <c r="E1531" s="1077" t="s">
        <v>5482</v>
      </c>
      <c r="F1531" s="1079">
        <v>3</v>
      </c>
      <c r="G1531" s="1079"/>
      <c r="H1531" s="1079"/>
      <c r="I1531" s="1079"/>
      <c r="J1531" s="1079"/>
      <c r="K1531" s="1079"/>
      <c r="L1531" s="1079"/>
      <c r="M1531" s="1079"/>
      <c r="N1531" s="1079"/>
      <c r="O1531" s="1079"/>
      <c r="P1531" s="1079"/>
      <c r="Q1531" s="1079"/>
      <c r="R1531" s="1079"/>
      <c r="S1531" s="1079"/>
      <c r="T1531" s="1079"/>
      <c r="U1531" s="1079"/>
      <c r="V1531" s="1079"/>
      <c r="W1531" s="1079">
        <v>73.3</v>
      </c>
      <c r="X1531" s="1079">
        <v>4.71</v>
      </c>
      <c r="Y1531" s="1079">
        <v>65.7</v>
      </c>
      <c r="Z1531" s="1079">
        <v>2.88</v>
      </c>
      <c r="AA1531" s="1079">
        <v>85.3</v>
      </c>
      <c r="AB1531" s="1079">
        <v>5.97</v>
      </c>
      <c r="AC1531" s="1079">
        <v>82.1</v>
      </c>
      <c r="AD1531" s="1080">
        <v>3.83</v>
      </c>
    </row>
    <row r="1532" spans="1:30" x14ac:dyDescent="0.2">
      <c r="A1532">
        <f t="shared" si="57"/>
        <v>40</v>
      </c>
      <c r="B1532">
        <v>1523</v>
      </c>
      <c r="C1532" s="1078">
        <v>3</v>
      </c>
      <c r="D1532" s="1077" t="s">
        <v>5411</v>
      </c>
      <c r="E1532" s="1077" t="s">
        <v>5483</v>
      </c>
      <c r="F1532" s="1079">
        <v>3</v>
      </c>
      <c r="G1532" s="1079"/>
      <c r="H1532" s="1079"/>
      <c r="I1532" s="1079"/>
      <c r="J1532" s="1079"/>
      <c r="K1532" s="1079"/>
      <c r="L1532" s="1079"/>
      <c r="M1532" s="1079"/>
      <c r="N1532" s="1079"/>
      <c r="O1532" s="1079"/>
      <c r="P1532" s="1079"/>
      <c r="Q1532" s="1079"/>
      <c r="R1532" s="1079"/>
      <c r="S1532" s="1079"/>
      <c r="T1532" s="1079"/>
      <c r="U1532" s="1079"/>
      <c r="V1532" s="1079"/>
      <c r="W1532" s="1079">
        <v>80.599999999999994</v>
      </c>
      <c r="X1532" s="1079">
        <v>4.2</v>
      </c>
      <c r="Y1532" s="1079">
        <v>72.2</v>
      </c>
      <c r="Z1532" s="1079">
        <v>2.88</v>
      </c>
      <c r="AA1532" s="1079">
        <v>93.3</v>
      </c>
      <c r="AB1532" s="1079">
        <v>5.97</v>
      </c>
      <c r="AC1532" s="1079">
        <v>90.2</v>
      </c>
      <c r="AD1532" s="1080">
        <v>3.83</v>
      </c>
    </row>
    <row r="1533" spans="1:30" x14ac:dyDescent="0.2">
      <c r="A1533">
        <f t="shared" si="57"/>
        <v>40</v>
      </c>
      <c r="B1533">
        <v>1524</v>
      </c>
      <c r="C1533" s="1078">
        <v>3</v>
      </c>
      <c r="D1533" s="1077" t="s">
        <v>5411</v>
      </c>
      <c r="E1533" s="1077" t="s">
        <v>5484</v>
      </c>
      <c r="F1533" s="1079">
        <v>3</v>
      </c>
      <c r="G1533" s="1079"/>
      <c r="H1533" s="1079"/>
      <c r="I1533" s="1079"/>
      <c r="J1533" s="1079"/>
      <c r="K1533" s="1079"/>
      <c r="L1533" s="1079"/>
      <c r="M1533" s="1079"/>
      <c r="N1533" s="1079"/>
      <c r="O1533" s="1079"/>
      <c r="P1533" s="1079"/>
      <c r="Q1533" s="1079"/>
      <c r="R1533" s="1079"/>
      <c r="S1533" s="1079"/>
      <c r="T1533" s="1079"/>
      <c r="U1533" s="1079"/>
      <c r="V1533" s="1079"/>
      <c r="W1533" s="1079">
        <v>87.8</v>
      </c>
      <c r="X1533" s="1079">
        <v>3.9</v>
      </c>
      <c r="Y1533" s="1079">
        <v>78.3</v>
      </c>
      <c r="Z1533" s="1079">
        <v>2.8</v>
      </c>
      <c r="AA1533" s="1079">
        <v>104.3</v>
      </c>
      <c r="AB1533" s="1079">
        <v>5.97</v>
      </c>
      <c r="AC1533" s="1079">
        <v>98.3</v>
      </c>
      <c r="AD1533" s="1080">
        <v>3.83</v>
      </c>
    </row>
    <row r="1534" spans="1:30" x14ac:dyDescent="0.2">
      <c r="A1534">
        <f t="shared" si="57"/>
        <v>41</v>
      </c>
      <c r="B1534">
        <v>1525</v>
      </c>
      <c r="C1534" s="1078">
        <v>2</v>
      </c>
      <c r="D1534" s="1077" t="s">
        <v>3919</v>
      </c>
      <c r="E1534" s="1077" t="s">
        <v>464</v>
      </c>
      <c r="F1534" s="1079"/>
      <c r="G1534" s="1079"/>
      <c r="H1534" s="1079"/>
      <c r="I1534" s="1079">
        <v>7.8</v>
      </c>
      <c r="J1534" s="1079">
        <v>3.2</v>
      </c>
      <c r="K1534" s="1079">
        <v>10.1</v>
      </c>
      <c r="L1534" s="1079">
        <v>3.9</v>
      </c>
      <c r="M1534" s="1079">
        <v>11.4</v>
      </c>
      <c r="N1534" s="1079">
        <v>4.4000000000000004</v>
      </c>
      <c r="O1534" s="1079"/>
      <c r="P1534" s="1079"/>
      <c r="Q1534" s="1079"/>
      <c r="R1534" s="1079"/>
      <c r="S1534" s="1079"/>
      <c r="T1534" s="1079">
        <v>1</v>
      </c>
      <c r="U1534" s="1079"/>
      <c r="V1534" s="1079"/>
      <c r="W1534" s="1079"/>
      <c r="X1534" s="1079"/>
      <c r="Y1534" s="1079"/>
      <c r="Z1534" s="1079"/>
      <c r="AA1534" s="1079"/>
      <c r="AB1534" s="1079"/>
      <c r="AC1534" s="1079"/>
      <c r="AD1534" s="1080"/>
    </row>
    <row r="1535" spans="1:30" x14ac:dyDescent="0.2">
      <c r="A1535">
        <f t="shared" si="57"/>
        <v>41</v>
      </c>
      <c r="B1535">
        <v>1526</v>
      </c>
      <c r="C1535" s="1078">
        <v>2</v>
      </c>
      <c r="D1535" s="1077" t="s">
        <v>3919</v>
      </c>
      <c r="E1535" s="1077" t="s">
        <v>465</v>
      </c>
      <c r="F1535" s="1079"/>
      <c r="G1535" s="1079"/>
      <c r="H1535" s="1079"/>
      <c r="I1535" s="1079">
        <v>10.6</v>
      </c>
      <c r="J1535" s="1079">
        <v>3</v>
      </c>
      <c r="K1535" s="1079">
        <v>13.9</v>
      </c>
      <c r="L1535" s="1079">
        <v>3.5</v>
      </c>
      <c r="M1535" s="1079">
        <v>16.2</v>
      </c>
      <c r="N1535" s="1079">
        <v>4.4000000000000004</v>
      </c>
      <c r="O1535" s="1079"/>
      <c r="P1535" s="1079"/>
      <c r="Q1535" s="1079"/>
      <c r="R1535" s="1079"/>
      <c r="S1535" s="1079"/>
      <c r="T1535" s="1079">
        <v>1</v>
      </c>
      <c r="U1535" s="1079"/>
      <c r="V1535" s="1079"/>
      <c r="W1535" s="1079"/>
      <c r="X1535" s="1079"/>
      <c r="Y1535" s="1079"/>
      <c r="Z1535" s="1079"/>
      <c r="AA1535" s="1079"/>
      <c r="AB1535" s="1079"/>
      <c r="AC1535" s="1079"/>
      <c r="AD1535" s="1080"/>
    </row>
    <row r="1536" spans="1:30" x14ac:dyDescent="0.2">
      <c r="A1536">
        <f t="shared" si="57"/>
        <v>42</v>
      </c>
      <c r="B1536">
        <v>1527</v>
      </c>
      <c r="C1536" s="1078">
        <v>2</v>
      </c>
      <c r="D1536" s="1077" t="s">
        <v>5257</v>
      </c>
      <c r="E1536" s="1077" t="s">
        <v>5258</v>
      </c>
      <c r="F1536" s="1079">
        <v>4</v>
      </c>
      <c r="G1536" s="1079">
        <v>5.84</v>
      </c>
      <c r="H1536" s="1079">
        <v>2.65</v>
      </c>
      <c r="I1536" s="1079">
        <v>7.05</v>
      </c>
      <c r="J1536" s="1079">
        <v>3.11</v>
      </c>
      <c r="K1536" s="1079">
        <v>4.7699999999999996</v>
      </c>
      <c r="L1536" s="1079">
        <v>4.12</v>
      </c>
      <c r="M1536" s="1079">
        <v>4</v>
      </c>
      <c r="N1536" s="1079">
        <v>4.9400000000000004</v>
      </c>
      <c r="O1536" s="1079"/>
      <c r="P1536" s="1079"/>
      <c r="Q1536" s="1079">
        <v>6.8</v>
      </c>
      <c r="R1536" s="1079">
        <v>2.37</v>
      </c>
      <c r="S1536" s="1079"/>
      <c r="T1536" s="1079"/>
      <c r="U1536" s="1079"/>
      <c r="V1536" s="1079"/>
      <c r="W1536" s="1079"/>
      <c r="X1536" s="1079"/>
      <c r="Y1536" s="1079"/>
      <c r="Z1536" s="1079"/>
      <c r="AA1536" s="1079"/>
      <c r="AB1536" s="1079"/>
      <c r="AC1536" s="1079"/>
      <c r="AD1536" s="1080"/>
    </row>
    <row r="1537" spans="1:30" x14ac:dyDescent="0.2">
      <c r="A1537">
        <f t="shared" si="57"/>
        <v>42</v>
      </c>
      <c r="B1537">
        <v>1528</v>
      </c>
      <c r="C1537" s="1078">
        <v>2</v>
      </c>
      <c r="D1537" s="1077" t="s">
        <v>5257</v>
      </c>
      <c r="E1537" s="1077" t="s">
        <v>5259</v>
      </c>
      <c r="F1537" s="1079">
        <v>4</v>
      </c>
      <c r="G1537" s="1079">
        <v>6.6</v>
      </c>
      <c r="H1537" s="1079">
        <v>2.6</v>
      </c>
      <c r="I1537" s="1079">
        <v>8.0500000000000007</v>
      </c>
      <c r="J1537" s="1079">
        <v>3.12</v>
      </c>
      <c r="K1537" s="1079">
        <v>5.45</v>
      </c>
      <c r="L1537" s="1079">
        <v>4.13</v>
      </c>
      <c r="M1537" s="1079">
        <v>5</v>
      </c>
      <c r="N1537" s="1079">
        <v>4.74</v>
      </c>
      <c r="O1537" s="1079"/>
      <c r="P1537" s="1079"/>
      <c r="Q1537" s="1079">
        <v>7.68</v>
      </c>
      <c r="R1537" s="1079">
        <v>2.31</v>
      </c>
      <c r="S1537" s="1079"/>
      <c r="T1537" s="1079"/>
      <c r="U1537" s="1079"/>
      <c r="V1537" s="1079"/>
      <c r="W1537" s="1079"/>
      <c r="X1537" s="1079"/>
      <c r="Y1537" s="1079"/>
      <c r="Z1537" s="1079"/>
      <c r="AA1537" s="1079"/>
      <c r="AB1537" s="1079"/>
      <c r="AC1537" s="1079"/>
      <c r="AD1537" s="1080"/>
    </row>
    <row r="1538" spans="1:30" x14ac:dyDescent="0.2">
      <c r="A1538">
        <f t="shared" si="57"/>
        <v>42</v>
      </c>
      <c r="B1538">
        <v>1529</v>
      </c>
      <c r="C1538" s="1078">
        <v>2</v>
      </c>
      <c r="D1538" s="1077" t="s">
        <v>5257</v>
      </c>
      <c r="E1538" s="1077" t="s">
        <v>5260</v>
      </c>
      <c r="F1538" s="1079">
        <v>4</v>
      </c>
      <c r="G1538" s="1079">
        <v>10</v>
      </c>
      <c r="H1538" s="1079">
        <v>2.58</v>
      </c>
      <c r="I1538" s="1079">
        <v>10</v>
      </c>
      <c r="J1538" s="1079">
        <v>3.08</v>
      </c>
      <c r="K1538" s="1079">
        <v>5.4</v>
      </c>
      <c r="L1538" s="1079">
        <v>4.0999999999999996</v>
      </c>
      <c r="M1538" s="1079">
        <v>4.5</v>
      </c>
      <c r="N1538" s="1079">
        <v>4.87</v>
      </c>
      <c r="O1538" s="1079"/>
      <c r="P1538" s="1079"/>
      <c r="Q1538" s="1079">
        <v>10</v>
      </c>
      <c r="R1538" s="1079">
        <v>2.2999999999999998</v>
      </c>
      <c r="S1538" s="1079"/>
      <c r="T1538" s="1079"/>
      <c r="U1538" s="1079"/>
      <c r="V1538" s="1079"/>
      <c r="W1538" s="1079"/>
      <c r="X1538" s="1079"/>
      <c r="Y1538" s="1079"/>
      <c r="Z1538" s="1079"/>
      <c r="AA1538" s="1079"/>
      <c r="AB1538" s="1079"/>
      <c r="AC1538" s="1079"/>
      <c r="AD1538" s="1080"/>
    </row>
    <row r="1539" spans="1:30" x14ac:dyDescent="0.2">
      <c r="A1539">
        <f t="shared" si="57"/>
        <v>42</v>
      </c>
      <c r="B1539">
        <v>1530</v>
      </c>
      <c r="C1539" s="1078">
        <v>2</v>
      </c>
      <c r="D1539" s="1077" t="s">
        <v>5257</v>
      </c>
      <c r="E1539" s="1077" t="s">
        <v>5261</v>
      </c>
      <c r="F1539" s="1079">
        <v>4</v>
      </c>
      <c r="G1539" s="1079">
        <v>12</v>
      </c>
      <c r="H1539" s="1079">
        <v>2.5499999999999998</v>
      </c>
      <c r="I1539" s="1079">
        <v>12</v>
      </c>
      <c r="J1539" s="1079">
        <v>3.05</v>
      </c>
      <c r="K1539" s="1079">
        <v>6.48</v>
      </c>
      <c r="L1539" s="1079">
        <v>4.21</v>
      </c>
      <c r="M1539" s="1079">
        <v>6</v>
      </c>
      <c r="N1539" s="1079">
        <v>4.79</v>
      </c>
      <c r="O1539" s="1079"/>
      <c r="P1539" s="1079"/>
      <c r="Q1539" s="1079">
        <v>12</v>
      </c>
      <c r="R1539" s="1079">
        <v>2.25</v>
      </c>
      <c r="S1539" s="1079"/>
      <c r="T1539" s="1079"/>
      <c r="U1539" s="1079"/>
      <c r="V1539" s="1079"/>
      <c r="W1539" s="1079"/>
      <c r="X1539" s="1079"/>
      <c r="Y1539" s="1079"/>
      <c r="Z1539" s="1079"/>
      <c r="AA1539" s="1079"/>
      <c r="AB1539" s="1079"/>
      <c r="AC1539" s="1079"/>
      <c r="AD1539" s="1080"/>
    </row>
    <row r="1540" spans="1:30" x14ac:dyDescent="0.2">
      <c r="A1540">
        <f t="shared" si="57"/>
        <v>42</v>
      </c>
      <c r="B1540">
        <v>1531</v>
      </c>
      <c r="C1540" s="1078">
        <v>2</v>
      </c>
      <c r="D1540" s="1077" t="s">
        <v>5257</v>
      </c>
      <c r="E1540" s="1077" t="s">
        <v>5066</v>
      </c>
      <c r="F1540" s="1079">
        <v>4</v>
      </c>
      <c r="G1540" s="1079">
        <v>7.7</v>
      </c>
      <c r="H1540" s="1079">
        <v>2.62</v>
      </c>
      <c r="I1540" s="1079">
        <v>11.11</v>
      </c>
      <c r="J1540" s="1079">
        <v>3.17</v>
      </c>
      <c r="K1540" s="1079">
        <v>6.48</v>
      </c>
      <c r="L1540" s="1079">
        <v>4.13</v>
      </c>
      <c r="M1540" s="1079">
        <v>6.46</v>
      </c>
      <c r="N1540" s="1079">
        <v>4.95</v>
      </c>
      <c r="O1540" s="1079"/>
      <c r="P1540" s="1079"/>
      <c r="Q1540" s="1079">
        <v>10.86</v>
      </c>
      <c r="R1540" s="1079">
        <v>2.34</v>
      </c>
      <c r="S1540" s="1079">
        <v>7.48</v>
      </c>
      <c r="T1540" s="1079">
        <v>2.82</v>
      </c>
      <c r="U1540" s="1079"/>
      <c r="V1540" s="1079"/>
      <c r="W1540" s="1079"/>
      <c r="X1540" s="1079"/>
      <c r="Y1540" s="1079"/>
      <c r="Z1540" s="1079"/>
      <c r="AA1540" s="1079"/>
      <c r="AB1540" s="1079"/>
      <c r="AC1540" s="1079"/>
      <c r="AD1540" s="1080"/>
    </row>
    <row r="1541" spans="1:30" x14ac:dyDescent="0.2">
      <c r="A1541">
        <f t="shared" si="57"/>
        <v>42</v>
      </c>
      <c r="B1541">
        <v>1532</v>
      </c>
      <c r="C1541" s="1078">
        <v>2</v>
      </c>
      <c r="D1541" s="1077" t="s">
        <v>5257</v>
      </c>
      <c r="E1541" s="1077" t="s">
        <v>5262</v>
      </c>
      <c r="F1541" s="1079">
        <v>4</v>
      </c>
      <c r="G1541" s="1079">
        <v>12.4</v>
      </c>
      <c r="H1541" s="1079">
        <v>2.58</v>
      </c>
      <c r="I1541" s="1079">
        <v>14.6</v>
      </c>
      <c r="J1541" s="1079">
        <v>2.85</v>
      </c>
      <c r="K1541" s="1079">
        <v>9.4499999999999993</v>
      </c>
      <c r="L1541" s="1079">
        <v>4.1500000000000004</v>
      </c>
      <c r="M1541" s="1079">
        <v>8</v>
      </c>
      <c r="N1541" s="1079">
        <v>4.62</v>
      </c>
      <c r="O1541" s="1079"/>
      <c r="P1541" s="1079"/>
      <c r="Q1541" s="1079">
        <v>14.2</v>
      </c>
      <c r="R1541" s="1079">
        <v>2.3199999999999998</v>
      </c>
      <c r="S1541" s="1079"/>
      <c r="T1541" s="1079"/>
      <c r="U1541" s="1079"/>
      <c r="V1541" s="1079"/>
      <c r="W1541" s="1079"/>
      <c r="X1541" s="1079"/>
      <c r="Y1541" s="1079"/>
      <c r="Z1541" s="1079"/>
      <c r="AA1541" s="1079"/>
      <c r="AB1541" s="1079"/>
      <c r="AC1541" s="1079"/>
      <c r="AD1541" s="1080"/>
    </row>
    <row r="1542" spans="1:30" x14ac:dyDescent="0.2">
      <c r="A1542">
        <f t="shared" si="57"/>
        <v>42</v>
      </c>
      <c r="B1542">
        <v>1533</v>
      </c>
      <c r="C1542" s="1078">
        <v>2</v>
      </c>
      <c r="D1542" s="1077" t="s">
        <v>5257</v>
      </c>
      <c r="E1542" s="1077" t="s">
        <v>5263</v>
      </c>
      <c r="F1542" s="1079">
        <v>4</v>
      </c>
      <c r="G1542" s="1079">
        <v>13.8</v>
      </c>
      <c r="H1542" s="1079">
        <v>2.57</v>
      </c>
      <c r="I1542" s="1079">
        <v>15</v>
      </c>
      <c r="J1542" s="1079">
        <v>2.98</v>
      </c>
      <c r="K1542" s="1079">
        <v>8.1</v>
      </c>
      <c r="L1542" s="1079">
        <v>4.13</v>
      </c>
      <c r="M1542" s="1079">
        <v>7</v>
      </c>
      <c r="N1542" s="1079">
        <v>4.95</v>
      </c>
      <c r="O1542" s="1079"/>
      <c r="P1542" s="1079"/>
      <c r="Q1542" s="1079">
        <v>15</v>
      </c>
      <c r="R1542" s="1079">
        <v>2.2999999999999998</v>
      </c>
      <c r="S1542" s="1079"/>
      <c r="T1542" s="1079"/>
      <c r="U1542" s="1079"/>
      <c r="V1542" s="1079"/>
      <c r="W1542" s="1079"/>
      <c r="X1542" s="1079"/>
      <c r="Y1542" s="1079"/>
      <c r="Z1542" s="1079"/>
      <c r="AA1542" s="1079"/>
      <c r="AB1542" s="1079"/>
      <c r="AC1542" s="1079"/>
      <c r="AD1542" s="1080"/>
    </row>
    <row r="1543" spans="1:30" x14ac:dyDescent="0.2">
      <c r="A1543">
        <f t="shared" si="57"/>
        <v>42</v>
      </c>
      <c r="B1543">
        <v>1534</v>
      </c>
      <c r="C1543" s="1078">
        <v>2</v>
      </c>
      <c r="D1543" s="1077" t="s">
        <v>5257</v>
      </c>
      <c r="E1543" s="1077" t="s">
        <v>5264</v>
      </c>
      <c r="F1543" s="1079">
        <v>4</v>
      </c>
      <c r="G1543" s="1079">
        <v>16</v>
      </c>
      <c r="H1543" s="1079">
        <v>2.5</v>
      </c>
      <c r="I1543" s="1079">
        <v>18</v>
      </c>
      <c r="J1543" s="1079">
        <v>2.75</v>
      </c>
      <c r="K1543" s="1079">
        <v>9.7200000000000006</v>
      </c>
      <c r="L1543" s="1079">
        <v>4.05</v>
      </c>
      <c r="M1543" s="1079">
        <v>9</v>
      </c>
      <c r="N1543" s="1079">
        <v>4.62</v>
      </c>
      <c r="O1543" s="1079"/>
      <c r="P1543" s="1079"/>
      <c r="Q1543" s="1079">
        <v>18</v>
      </c>
      <c r="R1543" s="1079">
        <v>2.27</v>
      </c>
      <c r="S1543" s="1079"/>
      <c r="T1543" s="1079"/>
      <c r="U1543" s="1079"/>
      <c r="V1543" s="1079"/>
      <c r="W1543" s="1079"/>
      <c r="X1543" s="1079"/>
      <c r="Y1543" s="1079"/>
      <c r="Z1543" s="1079"/>
      <c r="AA1543" s="1079"/>
      <c r="AB1543" s="1079"/>
      <c r="AC1543" s="1079"/>
      <c r="AD1543" s="1080"/>
    </row>
    <row r="1544" spans="1:30" x14ac:dyDescent="0.2">
      <c r="A1544">
        <f t="shared" si="57"/>
        <v>42</v>
      </c>
      <c r="B1544">
        <v>1535</v>
      </c>
      <c r="C1544" s="1078">
        <v>2</v>
      </c>
      <c r="D1544" s="1077" t="s">
        <v>5257</v>
      </c>
      <c r="E1544" s="1077" t="s">
        <v>5070</v>
      </c>
      <c r="F1544" s="1079">
        <v>4</v>
      </c>
      <c r="G1544" s="1079">
        <v>17.5</v>
      </c>
      <c r="H1544" s="1079">
        <v>2.4</v>
      </c>
      <c r="I1544" s="1079">
        <v>20.100000000000001</v>
      </c>
      <c r="J1544" s="1079">
        <v>3.25</v>
      </c>
      <c r="K1544" s="1079">
        <v>12.15</v>
      </c>
      <c r="L1544" s="1079">
        <v>4.29</v>
      </c>
      <c r="M1544" s="1079">
        <v>9.5</v>
      </c>
      <c r="N1544" s="1079">
        <v>5.08</v>
      </c>
      <c r="O1544" s="1079"/>
      <c r="P1544" s="1079"/>
      <c r="Q1544" s="1079">
        <v>19.3</v>
      </c>
      <c r="R1544" s="1079">
        <v>2.35</v>
      </c>
      <c r="S1544" s="1079"/>
      <c r="T1544" s="1079"/>
      <c r="U1544" s="1079"/>
      <c r="V1544" s="1079"/>
      <c r="W1544" s="1079"/>
      <c r="X1544" s="1079"/>
      <c r="Y1544" s="1079"/>
      <c r="Z1544" s="1079"/>
      <c r="AA1544" s="1079"/>
      <c r="AB1544" s="1079"/>
      <c r="AC1544" s="1079"/>
      <c r="AD1544" s="1080"/>
    </row>
    <row r="1545" spans="1:30" x14ac:dyDescent="0.2">
      <c r="A1545">
        <f t="shared" si="57"/>
        <v>42</v>
      </c>
      <c r="B1545">
        <v>1536</v>
      </c>
      <c r="C1545" s="1078">
        <v>2</v>
      </c>
      <c r="D1545" s="1077" t="s">
        <v>5257</v>
      </c>
      <c r="E1545" s="1077" t="s">
        <v>5071</v>
      </c>
      <c r="F1545" s="1079">
        <v>4</v>
      </c>
      <c r="G1545" s="1079">
        <v>17.68</v>
      </c>
      <c r="H1545" s="1079">
        <v>2.31</v>
      </c>
      <c r="I1545" s="1079">
        <v>21.29</v>
      </c>
      <c r="J1545" s="1079">
        <v>2.94</v>
      </c>
      <c r="K1545" s="1079">
        <v>12.41</v>
      </c>
      <c r="L1545" s="1079">
        <v>4.09</v>
      </c>
      <c r="M1545" s="1079">
        <v>10.57</v>
      </c>
      <c r="N1545" s="1079">
        <v>4.62</v>
      </c>
      <c r="O1545" s="1079"/>
      <c r="P1545" s="1079"/>
      <c r="Q1545" s="1079">
        <v>20.91</v>
      </c>
      <c r="R1545" s="1079">
        <v>2.29</v>
      </c>
      <c r="S1545" s="1079">
        <v>12.2</v>
      </c>
      <c r="T1545" s="1079">
        <v>2.83</v>
      </c>
      <c r="U1545" s="1079"/>
      <c r="V1545" s="1079"/>
      <c r="W1545" s="1079"/>
      <c r="X1545" s="1079"/>
      <c r="Y1545" s="1079"/>
      <c r="Z1545" s="1079"/>
      <c r="AA1545" s="1079"/>
      <c r="AB1545" s="1079"/>
      <c r="AC1545" s="1079"/>
      <c r="AD1545" s="1080"/>
    </row>
    <row r="1546" spans="1:30" x14ac:dyDescent="0.2">
      <c r="A1546">
        <f t="shared" si="57"/>
        <v>42</v>
      </c>
      <c r="B1546">
        <v>1537</v>
      </c>
      <c r="C1546" s="1078">
        <v>2</v>
      </c>
      <c r="D1546" s="1077" t="s">
        <v>5257</v>
      </c>
      <c r="E1546" s="1077" t="s">
        <v>5072</v>
      </c>
      <c r="F1546" s="1079">
        <v>4</v>
      </c>
      <c r="G1546" s="1079">
        <v>23.1</v>
      </c>
      <c r="H1546" s="1079">
        <v>2.29</v>
      </c>
      <c r="I1546" s="1079">
        <v>28.4</v>
      </c>
      <c r="J1546" s="1079">
        <v>2.85</v>
      </c>
      <c r="K1546" s="1079">
        <v>17.71</v>
      </c>
      <c r="L1546" s="1079">
        <v>4.05</v>
      </c>
      <c r="M1546" s="1079">
        <v>11.5</v>
      </c>
      <c r="N1546" s="1079">
        <v>4.5599999999999996</v>
      </c>
      <c r="O1546" s="1079"/>
      <c r="P1546" s="1079"/>
      <c r="Q1546" s="1079">
        <v>26.5</v>
      </c>
      <c r="R1546" s="1079">
        <v>2.27</v>
      </c>
      <c r="S1546" s="1079"/>
      <c r="T1546" s="1079"/>
      <c r="U1546" s="1079"/>
      <c r="V1546" s="1079"/>
      <c r="W1546" s="1079"/>
      <c r="X1546" s="1079"/>
      <c r="Y1546" s="1079"/>
      <c r="Z1546" s="1079"/>
      <c r="AA1546" s="1079"/>
      <c r="AB1546" s="1079"/>
      <c r="AC1546" s="1079"/>
      <c r="AD1546" s="1080"/>
    </row>
    <row r="1547" spans="1:30" x14ac:dyDescent="0.2">
      <c r="A1547">
        <f t="shared" si="57"/>
        <v>42</v>
      </c>
      <c r="B1547">
        <v>1538</v>
      </c>
      <c r="C1547" s="1078">
        <v>2</v>
      </c>
      <c r="D1547" s="1077" t="s">
        <v>5257</v>
      </c>
      <c r="E1547" s="1077" t="s">
        <v>5073</v>
      </c>
      <c r="F1547" s="1079">
        <v>4</v>
      </c>
      <c r="G1547" s="1079">
        <v>34.200000000000003</v>
      </c>
      <c r="H1547" s="1079">
        <v>2.2400000000000002</v>
      </c>
      <c r="I1547" s="1079">
        <v>35</v>
      </c>
      <c r="J1547" s="1079">
        <v>2.8</v>
      </c>
      <c r="K1547" s="1079">
        <v>18.899999999999999</v>
      </c>
      <c r="L1547" s="1079">
        <v>4.0999999999999996</v>
      </c>
      <c r="M1547" s="1079">
        <v>12</v>
      </c>
      <c r="N1547" s="1079">
        <v>6.63</v>
      </c>
      <c r="O1547" s="1079"/>
      <c r="P1547" s="1079"/>
      <c r="Q1547" s="1079">
        <v>35</v>
      </c>
      <c r="R1547" s="1079">
        <v>2.25</v>
      </c>
      <c r="S1547" s="1079"/>
      <c r="T1547" s="1079"/>
      <c r="U1547" s="1079"/>
      <c r="V1547" s="1079"/>
      <c r="W1547" s="1079"/>
      <c r="X1547" s="1079"/>
      <c r="Y1547" s="1079"/>
      <c r="Z1547" s="1079"/>
      <c r="AA1547" s="1079"/>
      <c r="AB1547" s="1079"/>
      <c r="AC1547" s="1079"/>
      <c r="AD1547" s="1080"/>
    </row>
    <row r="1548" spans="1:30" x14ac:dyDescent="0.2">
      <c r="A1548">
        <f t="shared" ref="A1548:A1611" si="58">A1547+(D1548&lt;&gt;D1547)*1</f>
        <v>42</v>
      </c>
      <c r="B1548">
        <v>1539</v>
      </c>
      <c r="C1548" s="1078">
        <v>2</v>
      </c>
      <c r="D1548" s="1077" t="s">
        <v>5257</v>
      </c>
      <c r="E1548" s="1077" t="s">
        <v>5265</v>
      </c>
      <c r="F1548" s="1079">
        <v>4</v>
      </c>
      <c r="G1548" s="1079">
        <v>28.9</v>
      </c>
      <c r="H1548" s="1079">
        <v>2.38</v>
      </c>
      <c r="I1548" s="1079">
        <v>36</v>
      </c>
      <c r="J1548" s="1079">
        <v>3.12</v>
      </c>
      <c r="K1548" s="1079">
        <v>21.6</v>
      </c>
      <c r="L1548" s="1079">
        <v>4.25</v>
      </c>
      <c r="M1548" s="1079">
        <v>13.5</v>
      </c>
      <c r="N1548" s="1079">
        <v>4.7</v>
      </c>
      <c r="O1548" s="1079"/>
      <c r="P1548" s="1079"/>
      <c r="Q1548" s="1079">
        <v>36</v>
      </c>
      <c r="R1548" s="1079">
        <v>2.34</v>
      </c>
      <c r="S1548" s="1079"/>
      <c r="T1548" s="1079"/>
      <c r="U1548" s="1079"/>
      <c r="V1548" s="1079"/>
      <c r="W1548" s="1079"/>
      <c r="X1548" s="1079"/>
      <c r="Y1548" s="1079"/>
      <c r="Z1548" s="1079"/>
      <c r="AA1548" s="1079"/>
      <c r="AB1548" s="1079"/>
      <c r="AC1548" s="1079"/>
      <c r="AD1548" s="1080"/>
    </row>
    <row r="1549" spans="1:30" x14ac:dyDescent="0.2">
      <c r="A1549">
        <f t="shared" si="58"/>
        <v>43</v>
      </c>
      <c r="B1549">
        <v>1540</v>
      </c>
      <c r="C1549" s="1078">
        <v>2</v>
      </c>
      <c r="D1549" s="1077" t="s">
        <v>3602</v>
      </c>
      <c r="E1549" s="1077" t="s">
        <v>4278</v>
      </c>
      <c r="F1549" s="1079" t="s">
        <v>3913</v>
      </c>
      <c r="G1549" s="1079">
        <v>3.12</v>
      </c>
      <c r="H1549" s="1079">
        <v>2.48</v>
      </c>
      <c r="I1549" s="1079">
        <v>4.34</v>
      </c>
      <c r="J1549" s="1079">
        <v>3.2</v>
      </c>
      <c r="K1549" s="1079">
        <v>5.6</v>
      </c>
      <c r="L1549" s="1079">
        <v>4.0999999999999996</v>
      </c>
      <c r="M1549" s="1079">
        <v>6.2</v>
      </c>
      <c r="N1549" s="1079">
        <v>4.7</v>
      </c>
      <c r="O1549" s="1079"/>
      <c r="P1549" s="1079"/>
      <c r="Q1549" s="1079">
        <v>4.57</v>
      </c>
      <c r="R1549" s="1079">
        <v>2.35</v>
      </c>
      <c r="S1549" s="1079">
        <v>6.05</v>
      </c>
      <c r="T1549" s="1079">
        <v>3.12</v>
      </c>
      <c r="U1549" s="1079">
        <v>6.6</v>
      </c>
      <c r="V1549" s="1079">
        <v>3.4</v>
      </c>
      <c r="W1549" s="1079"/>
      <c r="X1549" s="1079"/>
      <c r="Y1549" s="1079"/>
      <c r="Z1549" s="1079"/>
      <c r="AA1549" s="1079"/>
      <c r="AB1549" s="1079"/>
      <c r="AC1549" s="1079"/>
      <c r="AD1549" s="1080"/>
    </row>
    <row r="1550" spans="1:30" x14ac:dyDescent="0.2">
      <c r="A1550">
        <f t="shared" si="58"/>
        <v>43</v>
      </c>
      <c r="B1550">
        <v>1541</v>
      </c>
      <c r="C1550" s="1078">
        <v>2</v>
      </c>
      <c r="D1550" s="1077" t="s">
        <v>3602</v>
      </c>
      <c r="E1550" s="1077" t="s">
        <v>4279</v>
      </c>
      <c r="F1550" s="1079" t="s">
        <v>3913</v>
      </c>
      <c r="G1550" s="1079">
        <v>4.84</v>
      </c>
      <c r="H1550" s="1079">
        <v>2.58</v>
      </c>
      <c r="I1550" s="1079">
        <v>6.45</v>
      </c>
      <c r="J1550" s="1079">
        <v>3.2</v>
      </c>
      <c r="K1550" s="1079">
        <v>7.8</v>
      </c>
      <c r="L1550" s="1079">
        <v>3.9</v>
      </c>
      <c r="M1550" s="1079">
        <v>8.6999999999999993</v>
      </c>
      <c r="N1550" s="1079">
        <v>4.5999999999999996</v>
      </c>
      <c r="O1550" s="1079"/>
      <c r="P1550" s="1079"/>
      <c r="Q1550" s="1079">
        <v>6.8</v>
      </c>
      <c r="R1550" s="1079">
        <v>2.35</v>
      </c>
      <c r="S1550" s="1079">
        <v>9.4</v>
      </c>
      <c r="T1550" s="1079">
        <v>3.23</v>
      </c>
      <c r="U1550" s="1079">
        <v>10</v>
      </c>
      <c r="V1550" s="1079">
        <v>3.4</v>
      </c>
      <c r="W1550" s="1079"/>
      <c r="X1550" s="1079"/>
      <c r="Y1550" s="1079"/>
      <c r="Z1550" s="1079"/>
      <c r="AA1550" s="1079"/>
      <c r="AB1550" s="1079"/>
      <c r="AC1550" s="1079"/>
      <c r="AD1550" s="1080"/>
    </row>
    <row r="1551" spans="1:30" x14ac:dyDescent="0.2">
      <c r="A1551">
        <f t="shared" si="58"/>
        <v>43</v>
      </c>
      <c r="B1551">
        <v>1542</v>
      </c>
      <c r="C1551" s="1078">
        <v>2</v>
      </c>
      <c r="D1551" s="1077" t="s">
        <v>3602</v>
      </c>
      <c r="E1551" s="1077" t="s">
        <v>4280</v>
      </c>
      <c r="F1551" s="1079" t="s">
        <v>3913</v>
      </c>
      <c r="G1551" s="1079">
        <v>6.76</v>
      </c>
      <c r="H1551" s="1079">
        <v>2.54</v>
      </c>
      <c r="I1551" s="1079">
        <v>8.4</v>
      </c>
      <c r="J1551" s="1079">
        <v>2.94</v>
      </c>
      <c r="K1551" s="1079">
        <v>10.3</v>
      </c>
      <c r="L1551" s="1079">
        <v>3.8</v>
      </c>
      <c r="M1551" s="1079">
        <v>11.5</v>
      </c>
      <c r="N1551" s="1079">
        <v>4.5999999999999996</v>
      </c>
      <c r="O1551" s="1079"/>
      <c r="P1551" s="1079"/>
      <c r="Q1551" s="1079">
        <v>9</v>
      </c>
      <c r="R1551" s="1079">
        <v>2.19</v>
      </c>
      <c r="S1551" s="1079">
        <v>12.14</v>
      </c>
      <c r="T1551" s="1079">
        <v>3.19</v>
      </c>
      <c r="U1551" s="1079">
        <v>12.9</v>
      </c>
      <c r="V1551" s="1079">
        <v>3.3</v>
      </c>
      <c r="W1551" s="1079"/>
      <c r="X1551" s="1079"/>
      <c r="Y1551" s="1079"/>
      <c r="Z1551" s="1079"/>
      <c r="AA1551" s="1079"/>
      <c r="AB1551" s="1079"/>
      <c r="AC1551" s="1079"/>
      <c r="AD1551" s="1080"/>
    </row>
    <row r="1552" spans="1:30" x14ac:dyDescent="0.2">
      <c r="A1552">
        <f t="shared" si="58"/>
        <v>43</v>
      </c>
      <c r="B1552">
        <v>1543</v>
      </c>
      <c r="C1552" s="1078">
        <v>2</v>
      </c>
      <c r="D1552" s="1077" t="s">
        <v>3602</v>
      </c>
      <c r="E1552" s="1077" t="s">
        <v>4281</v>
      </c>
      <c r="F1552" s="1079" t="s">
        <v>3913</v>
      </c>
      <c r="G1552" s="1079">
        <v>9.34</v>
      </c>
      <c r="H1552" s="1079">
        <v>2.82</v>
      </c>
      <c r="I1552" s="1079">
        <v>11.2</v>
      </c>
      <c r="J1552" s="1079">
        <v>3.28</v>
      </c>
      <c r="K1552" s="1079">
        <v>13.8</v>
      </c>
      <c r="L1552" s="1079">
        <v>4.0999999999999996</v>
      </c>
      <c r="M1552" s="1079">
        <v>15.2</v>
      </c>
      <c r="N1552" s="1079">
        <v>4.7</v>
      </c>
      <c r="O1552" s="1079"/>
      <c r="P1552" s="1079"/>
      <c r="Q1552" s="1079">
        <v>11.46</v>
      </c>
      <c r="R1552" s="1079">
        <v>2.27</v>
      </c>
      <c r="S1552" s="1079">
        <v>15.78</v>
      </c>
      <c r="T1552" s="1079">
        <v>3.27</v>
      </c>
      <c r="U1552" s="1079">
        <v>16.7</v>
      </c>
      <c r="V1552" s="1079">
        <v>3.5</v>
      </c>
      <c r="W1552" s="1079"/>
      <c r="X1552" s="1079"/>
      <c r="Y1552" s="1079"/>
      <c r="Z1552" s="1079"/>
      <c r="AA1552" s="1079"/>
      <c r="AB1552" s="1079"/>
      <c r="AC1552" s="1079"/>
      <c r="AD1552" s="1080"/>
    </row>
    <row r="1553" spans="1:30" x14ac:dyDescent="0.2">
      <c r="A1553">
        <f t="shared" si="58"/>
        <v>43</v>
      </c>
      <c r="B1553">
        <v>1544</v>
      </c>
      <c r="C1553" s="1078">
        <v>2</v>
      </c>
      <c r="D1553" s="1077" t="s">
        <v>3602</v>
      </c>
      <c r="E1553" s="1077" t="s">
        <v>4282</v>
      </c>
      <c r="F1553" s="1079" t="s">
        <v>3913</v>
      </c>
      <c r="G1553" s="1079">
        <v>11</v>
      </c>
      <c r="H1553" s="1079">
        <v>2.52</v>
      </c>
      <c r="I1553" s="1079">
        <v>14.6</v>
      </c>
      <c r="J1553" s="1079">
        <v>3.09</v>
      </c>
      <c r="K1553" s="1079">
        <v>17.399999999999999</v>
      </c>
      <c r="L1553" s="1079">
        <v>3.7</v>
      </c>
      <c r="M1553" s="1079">
        <v>19.8</v>
      </c>
      <c r="N1553" s="1079">
        <v>4.4000000000000004</v>
      </c>
      <c r="O1553" s="1079"/>
      <c r="P1553" s="1079"/>
      <c r="Q1553" s="1079">
        <v>15.57</v>
      </c>
      <c r="R1553" s="1079">
        <v>2.34</v>
      </c>
      <c r="S1553" s="1079">
        <v>20.72</v>
      </c>
      <c r="T1553" s="1079">
        <v>3.16</v>
      </c>
      <c r="U1553" s="1079">
        <v>22.3</v>
      </c>
      <c r="V1553" s="1079">
        <v>3.4</v>
      </c>
      <c r="W1553" s="1079"/>
      <c r="X1553" s="1079"/>
      <c r="Y1553" s="1079"/>
      <c r="Z1553" s="1079"/>
      <c r="AA1553" s="1079"/>
      <c r="AB1553" s="1079"/>
      <c r="AC1553" s="1079"/>
      <c r="AD1553" s="1080"/>
    </row>
    <row r="1554" spans="1:30" x14ac:dyDescent="0.2">
      <c r="A1554">
        <f t="shared" si="58"/>
        <v>43</v>
      </c>
      <c r="B1554">
        <v>1545</v>
      </c>
      <c r="C1554" s="1078">
        <v>2</v>
      </c>
      <c r="D1554" s="1077" t="s">
        <v>3602</v>
      </c>
      <c r="E1554" s="1077" t="s">
        <v>4578</v>
      </c>
      <c r="F1554" s="1079">
        <v>4</v>
      </c>
      <c r="G1554" s="1079">
        <v>2.64</v>
      </c>
      <c r="H1554" s="1079">
        <v>2.4300000000000002</v>
      </c>
      <c r="I1554" s="1079">
        <v>3.6</v>
      </c>
      <c r="J1554" s="1079">
        <v>3.1</v>
      </c>
      <c r="K1554" s="1079">
        <v>2.5</v>
      </c>
      <c r="L1554" s="1079">
        <v>3.8</v>
      </c>
      <c r="M1554" s="1079">
        <v>3.1</v>
      </c>
      <c r="N1554" s="1079">
        <v>4.9000000000000004</v>
      </c>
      <c r="O1554" s="1079">
        <v>6.5</v>
      </c>
      <c r="P1554" s="1079">
        <v>6.6</v>
      </c>
      <c r="Q1554" s="1079">
        <v>3</v>
      </c>
      <c r="R1554" s="1079">
        <v>1.93</v>
      </c>
      <c r="S1554" s="1079">
        <v>2.73</v>
      </c>
      <c r="T1554" s="1079">
        <v>2.62</v>
      </c>
      <c r="U1554" s="1079">
        <v>5.5</v>
      </c>
      <c r="V1554" s="1079">
        <v>3.4</v>
      </c>
      <c r="W1554" s="1079"/>
      <c r="X1554" s="1079"/>
      <c r="Y1554" s="1079"/>
      <c r="Z1554" s="1079"/>
      <c r="AA1554" s="1079"/>
      <c r="AB1554" s="1079"/>
      <c r="AC1554" s="1079"/>
      <c r="AD1554" s="1080"/>
    </row>
    <row r="1555" spans="1:30" x14ac:dyDescent="0.2">
      <c r="A1555">
        <f t="shared" si="58"/>
        <v>43</v>
      </c>
      <c r="B1555">
        <v>1546</v>
      </c>
      <c r="C1555" s="1078">
        <v>2</v>
      </c>
      <c r="D1555" s="1077" t="s">
        <v>3602</v>
      </c>
      <c r="E1555" s="1077" t="s">
        <v>4579</v>
      </c>
      <c r="F1555" s="1079">
        <v>4</v>
      </c>
      <c r="G1555" s="1079">
        <v>4.37</v>
      </c>
      <c r="H1555" s="1079">
        <v>2.39</v>
      </c>
      <c r="I1555" s="1079">
        <v>4.9000000000000004</v>
      </c>
      <c r="J1555" s="1079">
        <v>2.7</v>
      </c>
      <c r="K1555" s="1079">
        <v>3.4</v>
      </c>
      <c r="L1555" s="1079">
        <v>3.7</v>
      </c>
      <c r="M1555" s="1079">
        <v>4.4000000000000004</v>
      </c>
      <c r="N1555" s="1079">
        <v>4.7</v>
      </c>
      <c r="O1555" s="1079">
        <v>9.5</v>
      </c>
      <c r="P1555" s="1079">
        <v>4.5999999999999996</v>
      </c>
      <c r="Q1555" s="1079">
        <v>4.0999999999999996</v>
      </c>
      <c r="R1555" s="1079">
        <v>1.95</v>
      </c>
      <c r="S1555" s="1079">
        <v>3.69</v>
      </c>
      <c r="T1555" s="1079">
        <v>2.67</v>
      </c>
      <c r="U1555" s="1079">
        <v>7.2</v>
      </c>
      <c r="V1555" s="1079">
        <v>3</v>
      </c>
      <c r="W1555" s="1079"/>
      <c r="X1555" s="1079"/>
      <c r="Y1555" s="1079"/>
      <c r="Z1555" s="1079"/>
      <c r="AA1555" s="1079"/>
      <c r="AB1555" s="1079"/>
      <c r="AC1555" s="1079"/>
      <c r="AD1555" s="1080"/>
    </row>
    <row r="1556" spans="1:30" x14ac:dyDescent="0.2">
      <c r="A1556">
        <f t="shared" si="58"/>
        <v>43</v>
      </c>
      <c r="B1556">
        <v>1547</v>
      </c>
      <c r="C1556" s="1078">
        <v>2</v>
      </c>
      <c r="D1556" s="1077" t="s">
        <v>3602</v>
      </c>
      <c r="E1556" s="1077" t="s">
        <v>4580</v>
      </c>
      <c r="F1556" s="1079">
        <v>4</v>
      </c>
      <c r="G1556" s="1079">
        <v>5.67</v>
      </c>
      <c r="H1556" s="1079">
        <v>2.35</v>
      </c>
      <c r="I1556" s="1079">
        <v>6.7</v>
      </c>
      <c r="J1556" s="1079">
        <v>2.6</v>
      </c>
      <c r="K1556" s="1079">
        <v>4.5</v>
      </c>
      <c r="L1556" s="1079">
        <v>3.7</v>
      </c>
      <c r="M1556" s="1079">
        <v>5.8</v>
      </c>
      <c r="N1556" s="1079">
        <v>4.5999999999999996</v>
      </c>
      <c r="O1556" s="1079">
        <v>11.9</v>
      </c>
      <c r="P1556" s="1079">
        <v>3.6</v>
      </c>
      <c r="Q1556" s="1079">
        <v>5.47</v>
      </c>
      <c r="R1556" s="1079">
        <v>1.98</v>
      </c>
      <c r="S1556" s="1079">
        <v>4.95</v>
      </c>
      <c r="T1556" s="1079">
        <v>2.69</v>
      </c>
      <c r="U1556" s="1079">
        <v>9.4</v>
      </c>
      <c r="V1556" s="1079">
        <v>2.7</v>
      </c>
      <c r="W1556" s="1079"/>
      <c r="X1556" s="1079"/>
      <c r="Y1556" s="1079"/>
      <c r="Z1556" s="1079"/>
      <c r="AA1556" s="1079"/>
      <c r="AB1556" s="1079"/>
      <c r="AC1556" s="1079"/>
      <c r="AD1556" s="1080"/>
    </row>
    <row r="1557" spans="1:30" x14ac:dyDescent="0.2">
      <c r="A1557">
        <f t="shared" si="58"/>
        <v>43</v>
      </c>
      <c r="B1557">
        <v>1548</v>
      </c>
      <c r="C1557" s="1078">
        <v>2</v>
      </c>
      <c r="D1557" s="1077" t="s">
        <v>3602</v>
      </c>
      <c r="E1557" s="1077" t="s">
        <v>4581</v>
      </c>
      <c r="F1557" s="1079">
        <v>4</v>
      </c>
      <c r="G1557" s="1079">
        <v>7.79</v>
      </c>
      <c r="H1557" s="1079">
        <v>2.27</v>
      </c>
      <c r="I1557" s="1079">
        <v>10.199999999999999</v>
      </c>
      <c r="J1557" s="1079">
        <v>2.8</v>
      </c>
      <c r="K1557" s="1079">
        <v>8.1999999999999993</v>
      </c>
      <c r="L1557" s="1079">
        <v>3.9</v>
      </c>
      <c r="M1557" s="1079">
        <v>9.6999999999999993</v>
      </c>
      <c r="N1557" s="1079">
        <v>4.5999999999999996</v>
      </c>
      <c r="O1557" s="1079">
        <v>20.100000000000001</v>
      </c>
      <c r="P1557" s="1079">
        <v>4.9000000000000004</v>
      </c>
      <c r="Q1557" s="1079">
        <v>8.42</v>
      </c>
      <c r="R1557" s="1079">
        <v>2.0099999999999998</v>
      </c>
      <c r="S1557" s="1079">
        <v>10.35</v>
      </c>
      <c r="T1557" s="1079">
        <v>2.77</v>
      </c>
      <c r="U1557" s="1079">
        <v>18.5</v>
      </c>
      <c r="V1557" s="1079">
        <v>3.2</v>
      </c>
      <c r="W1557" s="1079"/>
      <c r="X1557" s="1079"/>
      <c r="Y1557" s="1079"/>
      <c r="Z1557" s="1079"/>
      <c r="AA1557" s="1079"/>
      <c r="AB1557" s="1079"/>
      <c r="AC1557" s="1079"/>
      <c r="AD1557" s="1080"/>
    </row>
    <row r="1558" spans="1:30" x14ac:dyDescent="0.2">
      <c r="A1558">
        <f t="shared" si="58"/>
        <v>43</v>
      </c>
      <c r="B1558">
        <v>1549</v>
      </c>
      <c r="C1558" s="1078">
        <v>2</v>
      </c>
      <c r="D1558" s="1077" t="s">
        <v>3602</v>
      </c>
      <c r="E1558" s="1077" t="s">
        <v>4582</v>
      </c>
      <c r="F1558" s="1079">
        <v>4</v>
      </c>
      <c r="G1558" s="1079">
        <v>9.89</v>
      </c>
      <c r="H1558" s="1079">
        <v>2.16</v>
      </c>
      <c r="I1558" s="1079">
        <v>11.8</v>
      </c>
      <c r="J1558" s="1079">
        <v>2.5</v>
      </c>
      <c r="K1558" s="1079">
        <v>8.1999999999999993</v>
      </c>
      <c r="L1558" s="1079">
        <v>3.7</v>
      </c>
      <c r="M1558" s="1079">
        <v>10.3</v>
      </c>
      <c r="N1558" s="1079">
        <v>4.5999999999999996</v>
      </c>
      <c r="O1558" s="1079">
        <v>21.1</v>
      </c>
      <c r="P1558" s="1079">
        <v>3.7</v>
      </c>
      <c r="Q1558" s="1079">
        <v>9.32</v>
      </c>
      <c r="R1558" s="1079">
        <v>1.95</v>
      </c>
      <c r="S1558" s="1079">
        <v>10.9</v>
      </c>
      <c r="T1558" s="1079">
        <v>2.77</v>
      </c>
      <c r="U1558" s="1079">
        <v>19.3</v>
      </c>
      <c r="V1558" s="1079">
        <v>2.9</v>
      </c>
      <c r="W1558" s="1079"/>
      <c r="X1558" s="1079"/>
      <c r="Y1558" s="1079"/>
      <c r="Z1558" s="1079"/>
      <c r="AA1558" s="1079"/>
      <c r="AB1558" s="1079"/>
      <c r="AC1558" s="1079"/>
      <c r="AD1558" s="1080"/>
    </row>
    <row r="1559" spans="1:30" x14ac:dyDescent="0.2">
      <c r="A1559">
        <f t="shared" si="58"/>
        <v>43</v>
      </c>
      <c r="B1559">
        <v>1550</v>
      </c>
      <c r="C1559" s="1078">
        <v>2</v>
      </c>
      <c r="D1559" s="1077" t="s">
        <v>3602</v>
      </c>
      <c r="E1559" s="1077" t="s">
        <v>4696</v>
      </c>
      <c r="F1559" s="1079">
        <v>4</v>
      </c>
      <c r="G1559" s="1079">
        <v>4.7</v>
      </c>
      <c r="H1559" s="1079">
        <v>2.4</v>
      </c>
      <c r="I1559" s="1079">
        <v>7</v>
      </c>
      <c r="J1559" s="1079">
        <v>2.8</v>
      </c>
      <c r="K1559" s="1079">
        <v>3.1</v>
      </c>
      <c r="L1559" s="1079">
        <v>4.0999999999999996</v>
      </c>
      <c r="M1559" s="1079">
        <v>4.5999999999999996</v>
      </c>
      <c r="N1559" s="1079">
        <v>4.8</v>
      </c>
      <c r="O1559" s="1079">
        <v>8.6</v>
      </c>
      <c r="P1559" s="1079">
        <v>5</v>
      </c>
      <c r="Q1559" s="1079">
        <v>6.4</v>
      </c>
      <c r="R1559" s="1079">
        <v>2</v>
      </c>
      <c r="S1559" s="1079">
        <v>5</v>
      </c>
      <c r="T1559" s="1079">
        <v>2.9</v>
      </c>
      <c r="U1559" s="1079">
        <v>8.3000000000000007</v>
      </c>
      <c r="V1559" s="1079">
        <v>3.3</v>
      </c>
      <c r="W1559" s="1079"/>
      <c r="X1559" s="1079"/>
      <c r="Y1559" s="1079"/>
      <c r="Z1559" s="1079"/>
      <c r="AA1559" s="1079"/>
      <c r="AB1559" s="1079"/>
      <c r="AC1559" s="1079"/>
      <c r="AD1559" s="1080"/>
    </row>
    <row r="1560" spans="1:30" x14ac:dyDescent="0.2">
      <c r="A1560">
        <f t="shared" si="58"/>
        <v>43</v>
      </c>
      <c r="B1560">
        <v>1551</v>
      </c>
      <c r="C1560" s="1078">
        <v>2</v>
      </c>
      <c r="D1560" s="1077" t="s">
        <v>3602</v>
      </c>
      <c r="E1560" s="1077" t="s">
        <v>4697</v>
      </c>
      <c r="F1560" s="1079">
        <v>4</v>
      </c>
      <c r="G1560" s="1079">
        <v>8.4</v>
      </c>
      <c r="H1560" s="1079">
        <v>2.2999999999999998</v>
      </c>
      <c r="I1560" s="1079">
        <v>12.2</v>
      </c>
      <c r="J1560" s="1079">
        <v>2.7</v>
      </c>
      <c r="K1560" s="1079">
        <v>5.9</v>
      </c>
      <c r="L1560" s="1079">
        <v>4.5999999999999996</v>
      </c>
      <c r="M1560" s="1079">
        <v>8.5</v>
      </c>
      <c r="N1560" s="1079">
        <v>5.4</v>
      </c>
      <c r="O1560" s="1079">
        <v>13.8</v>
      </c>
      <c r="P1560" s="1079">
        <v>5</v>
      </c>
      <c r="Q1560" s="1079">
        <v>11.3</v>
      </c>
      <c r="R1560" s="1079">
        <v>1.9</v>
      </c>
      <c r="S1560" s="1079">
        <v>9.1</v>
      </c>
      <c r="T1560" s="1079">
        <v>3.1</v>
      </c>
      <c r="U1560" s="1079">
        <v>12.7</v>
      </c>
      <c r="V1560" s="1079">
        <v>3.1</v>
      </c>
      <c r="W1560" s="1079"/>
      <c r="X1560" s="1079"/>
      <c r="Y1560" s="1079"/>
      <c r="Z1560" s="1079"/>
      <c r="AA1560" s="1079"/>
      <c r="AB1560" s="1079"/>
      <c r="AC1560" s="1079"/>
      <c r="AD1560" s="1080"/>
    </row>
    <row r="1561" spans="1:30" x14ac:dyDescent="0.2">
      <c r="A1561">
        <f t="shared" si="58"/>
        <v>43</v>
      </c>
      <c r="B1561">
        <v>1552</v>
      </c>
      <c r="C1561" s="1078">
        <v>2</v>
      </c>
      <c r="D1561" s="1077" t="s">
        <v>3602</v>
      </c>
      <c r="E1561" s="1077" t="s">
        <v>4698</v>
      </c>
      <c r="F1561" s="1079">
        <v>4</v>
      </c>
      <c r="G1561" s="1079">
        <v>4.5999999999999996</v>
      </c>
      <c r="H1561" s="1079">
        <v>2.4</v>
      </c>
      <c r="I1561" s="1079">
        <v>5.4</v>
      </c>
      <c r="J1561" s="1079">
        <v>3</v>
      </c>
      <c r="K1561" s="1079">
        <v>3.1</v>
      </c>
      <c r="L1561" s="1079">
        <v>4.0999999999999996</v>
      </c>
      <c r="M1561" s="1079">
        <v>4.5</v>
      </c>
      <c r="N1561" s="1079">
        <v>4.8</v>
      </c>
      <c r="O1561" s="1079">
        <v>8.6</v>
      </c>
      <c r="P1561" s="1079">
        <v>5</v>
      </c>
      <c r="Q1561" s="1079">
        <v>5.3</v>
      </c>
      <c r="R1561" s="1079">
        <v>2</v>
      </c>
      <c r="S1561" s="1079">
        <v>4.9000000000000004</v>
      </c>
      <c r="T1561" s="1079">
        <v>2.9</v>
      </c>
      <c r="U1561" s="1079">
        <v>8.1999999999999993</v>
      </c>
      <c r="V1561" s="1079">
        <v>3.3</v>
      </c>
      <c r="W1561" s="1079"/>
      <c r="X1561" s="1079"/>
      <c r="Y1561" s="1079"/>
      <c r="Z1561" s="1079"/>
      <c r="AA1561" s="1079"/>
      <c r="AB1561" s="1079"/>
      <c r="AC1561" s="1079"/>
      <c r="AD1561" s="1080"/>
    </row>
    <row r="1562" spans="1:30" x14ac:dyDescent="0.2">
      <c r="A1562">
        <f t="shared" si="58"/>
        <v>43</v>
      </c>
      <c r="B1562">
        <v>1553</v>
      </c>
      <c r="C1562" s="1078">
        <v>2</v>
      </c>
      <c r="D1562" s="1077" t="s">
        <v>3602</v>
      </c>
      <c r="E1562" s="1077" t="s">
        <v>4699</v>
      </c>
      <c r="F1562" s="1079">
        <v>4</v>
      </c>
      <c r="G1562" s="1079">
        <v>8.4</v>
      </c>
      <c r="H1562" s="1079">
        <v>2.4</v>
      </c>
      <c r="I1562" s="1079">
        <v>9.1999999999999993</v>
      </c>
      <c r="J1562" s="1079">
        <v>2.7</v>
      </c>
      <c r="K1562" s="1079">
        <v>5.8</v>
      </c>
      <c r="L1562" s="1079">
        <v>4.5999999999999996</v>
      </c>
      <c r="M1562" s="1079">
        <v>8.1</v>
      </c>
      <c r="N1562" s="1079">
        <v>5.3</v>
      </c>
      <c r="O1562" s="1079">
        <v>14.6</v>
      </c>
      <c r="P1562" s="1079">
        <v>5</v>
      </c>
      <c r="Q1562" s="1079">
        <v>9.6999999999999993</v>
      </c>
      <c r="R1562" s="1079">
        <v>2</v>
      </c>
      <c r="S1562" s="1079">
        <v>9.1</v>
      </c>
      <c r="T1562" s="1079">
        <v>3.1</v>
      </c>
      <c r="U1562" s="1079">
        <v>12.7</v>
      </c>
      <c r="V1562" s="1079">
        <v>3.1</v>
      </c>
      <c r="W1562" s="1079"/>
      <c r="X1562" s="1079"/>
      <c r="Y1562" s="1079"/>
      <c r="Z1562" s="1079"/>
      <c r="AA1562" s="1079"/>
      <c r="AB1562" s="1079"/>
      <c r="AC1562" s="1079"/>
      <c r="AD1562" s="1080"/>
    </row>
    <row r="1563" spans="1:30" x14ac:dyDescent="0.2">
      <c r="A1563">
        <f t="shared" si="58"/>
        <v>43</v>
      </c>
      <c r="B1563">
        <v>1554</v>
      </c>
      <c r="C1563" s="1078">
        <v>2</v>
      </c>
      <c r="D1563" s="1077" t="s">
        <v>3602</v>
      </c>
      <c r="E1563" s="1077" t="s">
        <v>5652</v>
      </c>
      <c r="F1563" s="1079">
        <v>4</v>
      </c>
      <c r="G1563" s="1079">
        <v>4.9000000000000004</v>
      </c>
      <c r="H1563" s="1079">
        <v>2.33</v>
      </c>
      <c r="I1563" s="1079">
        <v>6.12</v>
      </c>
      <c r="J1563" s="1079">
        <v>2.86</v>
      </c>
      <c r="K1563" s="1079">
        <v>7.49</v>
      </c>
      <c r="L1563" s="1079">
        <v>3.46</v>
      </c>
      <c r="M1563" s="1079">
        <v>8.51</v>
      </c>
      <c r="N1563" s="1079">
        <v>3.88</v>
      </c>
      <c r="O1563" s="1079">
        <v>5.64</v>
      </c>
      <c r="P1563" s="1079">
        <v>6.34</v>
      </c>
      <c r="Q1563" s="1079">
        <v>5.67</v>
      </c>
      <c r="R1563" s="1079">
        <v>2.14</v>
      </c>
      <c r="S1563" s="1079">
        <v>7.93</v>
      </c>
      <c r="T1563" s="1079">
        <v>2.76</v>
      </c>
      <c r="U1563" s="1079">
        <v>6.84</v>
      </c>
      <c r="V1563" s="1079">
        <v>4.4400000000000004</v>
      </c>
      <c r="W1563" s="1079"/>
      <c r="X1563" s="1079"/>
      <c r="Y1563" s="1079"/>
      <c r="Z1563" s="1079"/>
      <c r="AA1563" s="1079"/>
      <c r="AB1563" s="1079"/>
      <c r="AC1563" s="1079"/>
      <c r="AD1563" s="1080"/>
    </row>
    <row r="1564" spans="1:30" x14ac:dyDescent="0.2">
      <c r="A1564">
        <f t="shared" si="58"/>
        <v>43</v>
      </c>
      <c r="B1564">
        <v>1555</v>
      </c>
      <c r="C1564" s="1078">
        <v>2</v>
      </c>
      <c r="D1564" s="1077" t="s">
        <v>3602</v>
      </c>
      <c r="E1564" s="1077" t="s">
        <v>5653</v>
      </c>
      <c r="F1564" s="1079">
        <v>4</v>
      </c>
      <c r="G1564" s="1079">
        <v>6.46</v>
      </c>
      <c r="H1564" s="1079">
        <v>2.93</v>
      </c>
      <c r="I1564" s="1079">
        <v>7.2</v>
      </c>
      <c r="J1564" s="1079">
        <v>2.71</v>
      </c>
      <c r="K1564" s="1079">
        <v>8.0299999999999994</v>
      </c>
      <c r="L1564" s="1079">
        <v>3.06</v>
      </c>
      <c r="M1564" s="1079">
        <v>9.59</v>
      </c>
      <c r="N1564" s="1079">
        <v>3.71</v>
      </c>
      <c r="O1564" s="1079">
        <v>1.1081683168316832</v>
      </c>
      <c r="P1564" s="1079">
        <v>8.51</v>
      </c>
      <c r="Q1564" s="1079">
        <v>6.87</v>
      </c>
      <c r="R1564" s="1079">
        <v>2.1</v>
      </c>
      <c r="S1564" s="1079">
        <v>8.7200000000000006</v>
      </c>
      <c r="T1564" s="1079">
        <v>2.76</v>
      </c>
      <c r="U1564" s="1079">
        <v>8.92</v>
      </c>
      <c r="V1564" s="1079">
        <v>4.17</v>
      </c>
      <c r="W1564" s="1079"/>
      <c r="X1564" s="1079"/>
      <c r="Y1564" s="1079"/>
      <c r="Z1564" s="1079"/>
      <c r="AA1564" s="1079"/>
      <c r="AB1564" s="1079"/>
      <c r="AC1564" s="1079"/>
      <c r="AD1564" s="1080"/>
    </row>
    <row r="1565" spans="1:30" x14ac:dyDescent="0.2">
      <c r="A1565">
        <f t="shared" si="58"/>
        <v>43</v>
      </c>
      <c r="B1565">
        <v>1556</v>
      </c>
      <c r="C1565" s="1078">
        <v>2</v>
      </c>
      <c r="D1565" s="1077" t="s">
        <v>3602</v>
      </c>
      <c r="E1565" s="1077" t="s">
        <v>5654</v>
      </c>
      <c r="F1565" s="1079">
        <v>4</v>
      </c>
      <c r="G1565" s="1079">
        <v>9.07</v>
      </c>
      <c r="H1565" s="1079">
        <v>2.2999999999999998</v>
      </c>
      <c r="I1565" s="1079">
        <v>11.25</v>
      </c>
      <c r="J1565" s="1079">
        <v>2.81</v>
      </c>
      <c r="K1565" s="1079">
        <v>14.23</v>
      </c>
      <c r="L1565" s="1079">
        <v>3.58</v>
      </c>
      <c r="M1565" s="1079">
        <v>15.55</v>
      </c>
      <c r="N1565" s="1079">
        <v>3.8</v>
      </c>
      <c r="O1565" s="1079">
        <v>12.11</v>
      </c>
      <c r="P1565" s="1079">
        <v>6.35</v>
      </c>
      <c r="Q1565" s="1079">
        <v>10.96</v>
      </c>
      <c r="R1565" s="1079">
        <v>2.0299999999999998</v>
      </c>
      <c r="S1565" s="1079">
        <v>13.05</v>
      </c>
      <c r="T1565" s="1079">
        <v>2.39</v>
      </c>
      <c r="U1565" s="1079">
        <v>13.69</v>
      </c>
      <c r="V1565" s="1079">
        <v>3.73</v>
      </c>
      <c r="W1565" s="1079"/>
      <c r="X1565" s="1079"/>
      <c r="Y1565" s="1079"/>
      <c r="Z1565" s="1079"/>
      <c r="AA1565" s="1079"/>
      <c r="AB1565" s="1079"/>
      <c r="AC1565" s="1079"/>
      <c r="AD1565" s="1080"/>
    </row>
    <row r="1566" spans="1:30" x14ac:dyDescent="0.2">
      <c r="A1566">
        <f t="shared" si="58"/>
        <v>43</v>
      </c>
      <c r="B1566">
        <v>1557</v>
      </c>
      <c r="C1566" s="1078">
        <v>2</v>
      </c>
      <c r="D1566" s="1077" t="s">
        <v>3602</v>
      </c>
      <c r="E1566" s="1077" t="s">
        <v>5655</v>
      </c>
      <c r="F1566" s="1079">
        <v>4</v>
      </c>
      <c r="G1566" s="1079">
        <v>10.09</v>
      </c>
      <c r="H1566" s="1079">
        <v>2.2599999999999998</v>
      </c>
      <c r="I1566" s="1079">
        <v>11.89</v>
      </c>
      <c r="J1566" s="1079">
        <v>2.66</v>
      </c>
      <c r="K1566" s="1079">
        <v>14.89</v>
      </c>
      <c r="L1566" s="1079">
        <v>3.29</v>
      </c>
      <c r="M1566" s="1079">
        <v>15.25</v>
      </c>
      <c r="N1566" s="1079">
        <v>3.37</v>
      </c>
      <c r="O1566" s="1079">
        <v>12.11</v>
      </c>
      <c r="P1566" s="1079">
        <v>6.35</v>
      </c>
      <c r="Q1566" s="1079">
        <v>11.99</v>
      </c>
      <c r="R1566" s="1079">
        <v>1.98</v>
      </c>
      <c r="S1566" s="1079">
        <v>13.76</v>
      </c>
      <c r="T1566" s="1079">
        <v>2.25</v>
      </c>
      <c r="U1566" s="1079">
        <v>13.69</v>
      </c>
      <c r="V1566" s="1079">
        <v>3.73</v>
      </c>
      <c r="W1566" s="1079"/>
      <c r="X1566" s="1079"/>
      <c r="Y1566" s="1079"/>
      <c r="Z1566" s="1079"/>
      <c r="AA1566" s="1079"/>
      <c r="AB1566" s="1079"/>
      <c r="AC1566" s="1079"/>
      <c r="AD1566" s="1080"/>
    </row>
    <row r="1567" spans="1:30" x14ac:dyDescent="0.2">
      <c r="A1567">
        <f t="shared" si="58"/>
        <v>43</v>
      </c>
      <c r="B1567">
        <v>1558</v>
      </c>
      <c r="C1567" s="1078">
        <v>2</v>
      </c>
      <c r="D1567" s="1077" t="s">
        <v>3602</v>
      </c>
      <c r="E1567" s="1077" t="s">
        <v>4583</v>
      </c>
      <c r="F1567" s="1079">
        <v>4</v>
      </c>
      <c r="G1567" s="1079">
        <v>4.08</v>
      </c>
      <c r="H1567" s="1079">
        <v>2.4300000000000002</v>
      </c>
      <c r="I1567" s="1079">
        <v>5.7</v>
      </c>
      <c r="J1567" s="1079">
        <v>2.9</v>
      </c>
      <c r="K1567" s="1079">
        <v>3.3</v>
      </c>
      <c r="L1567" s="1079">
        <v>4</v>
      </c>
      <c r="M1567" s="1079">
        <v>4.9000000000000004</v>
      </c>
      <c r="N1567" s="1079">
        <v>4.5</v>
      </c>
      <c r="O1567" s="1079">
        <v>9.6999999999999993</v>
      </c>
      <c r="P1567" s="1079">
        <v>5.3</v>
      </c>
      <c r="Q1567" s="1079">
        <v>4.4000000000000004</v>
      </c>
      <c r="R1567" s="1079">
        <v>2</v>
      </c>
      <c r="S1567" s="1079">
        <v>4.7300000000000004</v>
      </c>
      <c r="T1567" s="1079">
        <v>2.69</v>
      </c>
      <c r="U1567" s="1079">
        <v>6.9</v>
      </c>
      <c r="V1567" s="1079">
        <v>3</v>
      </c>
      <c r="W1567" s="1079"/>
      <c r="X1567" s="1079"/>
      <c r="Y1567" s="1079"/>
      <c r="Z1567" s="1079"/>
      <c r="AA1567" s="1079"/>
      <c r="AB1567" s="1079"/>
      <c r="AC1567" s="1079"/>
      <c r="AD1567" s="1080"/>
    </row>
    <row r="1568" spans="1:30" x14ac:dyDescent="0.2">
      <c r="A1568">
        <f t="shared" si="58"/>
        <v>43</v>
      </c>
      <c r="B1568">
        <v>1559</v>
      </c>
      <c r="C1568" s="1078">
        <v>2</v>
      </c>
      <c r="D1568" s="1077" t="s">
        <v>3602</v>
      </c>
      <c r="E1568" s="1077" t="s">
        <v>4584</v>
      </c>
      <c r="F1568" s="1079">
        <v>4</v>
      </c>
      <c r="G1568" s="1079">
        <v>4.5599999999999996</v>
      </c>
      <c r="H1568" s="1079">
        <v>2.04</v>
      </c>
      <c r="I1568" s="1079">
        <v>7.2</v>
      </c>
      <c r="J1568" s="1079">
        <v>2.7</v>
      </c>
      <c r="K1568" s="1079">
        <v>4.0999999999999996</v>
      </c>
      <c r="L1568" s="1079">
        <v>4</v>
      </c>
      <c r="M1568" s="1079">
        <v>5.8</v>
      </c>
      <c r="N1568" s="1079">
        <v>3.7</v>
      </c>
      <c r="O1568" s="1079">
        <v>15.7</v>
      </c>
      <c r="P1568" s="1079">
        <v>4.5999999999999996</v>
      </c>
      <c r="Q1568" s="1079">
        <v>5.6</v>
      </c>
      <c r="R1568" s="1079">
        <v>2</v>
      </c>
      <c r="S1568" s="1079">
        <v>6.84</v>
      </c>
      <c r="T1568" s="1079">
        <v>2.63</v>
      </c>
      <c r="U1568" s="1079">
        <v>8.6</v>
      </c>
      <c r="V1568" s="1079">
        <v>3.3</v>
      </c>
      <c r="W1568" s="1079"/>
      <c r="X1568" s="1079"/>
      <c r="Y1568" s="1079"/>
      <c r="Z1568" s="1079"/>
      <c r="AA1568" s="1079"/>
      <c r="AB1568" s="1079"/>
      <c r="AC1568" s="1079"/>
      <c r="AD1568" s="1080"/>
    </row>
    <row r="1569" spans="1:30" x14ac:dyDescent="0.2">
      <c r="A1569">
        <f t="shared" si="58"/>
        <v>43</v>
      </c>
      <c r="B1569">
        <v>1560</v>
      </c>
      <c r="C1569" s="1078">
        <v>2</v>
      </c>
      <c r="D1569" s="1077" t="s">
        <v>3602</v>
      </c>
      <c r="E1569" s="1077" t="s">
        <v>4917</v>
      </c>
      <c r="F1569" s="1079">
        <v>1</v>
      </c>
      <c r="G1569" s="1079">
        <v>15.5</v>
      </c>
      <c r="H1569" s="1079">
        <v>2.75</v>
      </c>
      <c r="I1569" s="1079">
        <v>18.899999999999999</v>
      </c>
      <c r="J1569" s="1079">
        <v>3.3</v>
      </c>
      <c r="K1569" s="1079">
        <v>21.1</v>
      </c>
      <c r="L1569" s="1079">
        <v>3.6</v>
      </c>
      <c r="M1569" s="1079">
        <v>26.5</v>
      </c>
      <c r="N1569" s="1079">
        <v>4.2</v>
      </c>
      <c r="O1569" s="1079">
        <v>31</v>
      </c>
      <c r="P1569" s="1079">
        <v>5.8</v>
      </c>
      <c r="Q1569" s="1079">
        <v>19</v>
      </c>
      <c r="R1569" s="1079">
        <v>2.6</v>
      </c>
      <c r="S1569" s="1079">
        <v>27</v>
      </c>
      <c r="T1569" s="1079">
        <v>3.2</v>
      </c>
      <c r="U1569" s="1079">
        <v>29.8</v>
      </c>
      <c r="V1569" s="1079">
        <v>4.7</v>
      </c>
      <c r="W1569" s="1079"/>
      <c r="X1569" s="1079"/>
      <c r="Y1569" s="1079"/>
      <c r="Z1569" s="1079"/>
      <c r="AA1569" s="1079"/>
      <c r="AB1569" s="1079"/>
      <c r="AC1569" s="1079"/>
      <c r="AD1569" s="1080"/>
    </row>
    <row r="1570" spans="1:30" x14ac:dyDescent="0.2">
      <c r="A1570">
        <f t="shared" si="58"/>
        <v>43</v>
      </c>
      <c r="B1570">
        <v>1561</v>
      </c>
      <c r="C1570" s="1078">
        <v>2</v>
      </c>
      <c r="D1570" s="1077" t="s">
        <v>3602</v>
      </c>
      <c r="E1570" s="1077" t="s">
        <v>4918</v>
      </c>
      <c r="F1570" s="1079">
        <v>1</v>
      </c>
      <c r="G1570" s="1079">
        <v>15.5</v>
      </c>
      <c r="H1570" s="1079">
        <v>2.75</v>
      </c>
      <c r="I1570" s="1079">
        <v>18.899999999999999</v>
      </c>
      <c r="J1570" s="1079">
        <v>3.3</v>
      </c>
      <c r="K1570" s="1079">
        <v>21.1</v>
      </c>
      <c r="L1570" s="1079">
        <v>3.6</v>
      </c>
      <c r="M1570" s="1079">
        <v>26.5</v>
      </c>
      <c r="N1570" s="1079">
        <v>4.2</v>
      </c>
      <c r="O1570" s="1079">
        <v>31</v>
      </c>
      <c r="P1570" s="1079">
        <v>5.8</v>
      </c>
      <c r="Q1570" s="1079">
        <v>19</v>
      </c>
      <c r="R1570" s="1079">
        <v>2.6</v>
      </c>
      <c r="S1570" s="1079">
        <v>27</v>
      </c>
      <c r="T1570" s="1079">
        <v>3.2</v>
      </c>
      <c r="U1570" s="1079">
        <v>29.8</v>
      </c>
      <c r="V1570" s="1079">
        <v>4.7</v>
      </c>
      <c r="W1570" s="1079"/>
      <c r="X1570" s="1079"/>
      <c r="Y1570" s="1079"/>
      <c r="Z1570" s="1079"/>
      <c r="AA1570" s="1079"/>
      <c r="AB1570" s="1079"/>
      <c r="AC1570" s="1079"/>
      <c r="AD1570" s="1080"/>
    </row>
    <row r="1571" spans="1:30" x14ac:dyDescent="0.2">
      <c r="A1571">
        <f t="shared" si="58"/>
        <v>43</v>
      </c>
      <c r="B1571">
        <v>1562</v>
      </c>
      <c r="C1571" s="1078">
        <v>2</v>
      </c>
      <c r="D1571" s="1077" t="s">
        <v>3602</v>
      </c>
      <c r="E1571" s="1077" t="s">
        <v>4919</v>
      </c>
      <c r="F1571" s="1079">
        <v>1</v>
      </c>
      <c r="G1571" s="1079">
        <v>21</v>
      </c>
      <c r="H1571" s="1079">
        <v>2.75</v>
      </c>
      <c r="I1571" s="1079">
        <v>26</v>
      </c>
      <c r="J1571" s="1079">
        <v>3.3</v>
      </c>
      <c r="K1571" s="1079">
        <v>28</v>
      </c>
      <c r="L1571" s="1079">
        <v>3.5</v>
      </c>
      <c r="M1571" s="1079">
        <v>37</v>
      </c>
      <c r="N1571" s="1079">
        <v>4.2</v>
      </c>
      <c r="O1571" s="1079">
        <v>43.8</v>
      </c>
      <c r="P1571" s="1079">
        <v>5.8</v>
      </c>
      <c r="Q1571" s="1079">
        <v>25.5</v>
      </c>
      <c r="R1571" s="1079">
        <v>2.6</v>
      </c>
      <c r="S1571" s="1079">
        <v>34</v>
      </c>
      <c r="T1571" s="1079">
        <v>3</v>
      </c>
      <c r="U1571" s="1079">
        <v>42.5</v>
      </c>
      <c r="V1571" s="1079">
        <v>5.0999999999999996</v>
      </c>
      <c r="W1571" s="1079"/>
      <c r="X1571" s="1079"/>
      <c r="Y1571" s="1079"/>
      <c r="Z1571" s="1079"/>
      <c r="AA1571" s="1079"/>
      <c r="AB1571" s="1079"/>
      <c r="AC1571" s="1079"/>
      <c r="AD1571" s="1080"/>
    </row>
    <row r="1572" spans="1:30" x14ac:dyDescent="0.2">
      <c r="A1572">
        <f t="shared" si="58"/>
        <v>43</v>
      </c>
      <c r="B1572">
        <v>1563</v>
      </c>
      <c r="C1572" s="1078">
        <v>2</v>
      </c>
      <c r="D1572" s="1077" t="s">
        <v>3602</v>
      </c>
      <c r="E1572" s="1077" t="s">
        <v>4920</v>
      </c>
      <c r="F1572" s="1079">
        <v>1</v>
      </c>
      <c r="G1572" s="1079">
        <v>21</v>
      </c>
      <c r="H1572" s="1079">
        <v>2.75</v>
      </c>
      <c r="I1572" s="1079">
        <v>26</v>
      </c>
      <c r="J1572" s="1079">
        <v>3.3</v>
      </c>
      <c r="K1572" s="1079">
        <v>28</v>
      </c>
      <c r="L1572" s="1079">
        <v>3.5</v>
      </c>
      <c r="M1572" s="1079">
        <v>37</v>
      </c>
      <c r="N1572" s="1079">
        <v>4.2</v>
      </c>
      <c r="O1572" s="1079">
        <v>43.8</v>
      </c>
      <c r="P1572" s="1079">
        <v>5.8</v>
      </c>
      <c r="Q1572" s="1079">
        <v>25.5</v>
      </c>
      <c r="R1572" s="1079">
        <v>2.6</v>
      </c>
      <c r="S1572" s="1079">
        <v>34</v>
      </c>
      <c r="T1572" s="1079">
        <v>3</v>
      </c>
      <c r="U1572" s="1079">
        <v>42.5</v>
      </c>
      <c r="V1572" s="1079">
        <v>5.0999999999999996</v>
      </c>
      <c r="W1572" s="1079"/>
      <c r="X1572" s="1079"/>
      <c r="Y1572" s="1079"/>
      <c r="Z1572" s="1079"/>
      <c r="AA1572" s="1079"/>
      <c r="AB1572" s="1079"/>
      <c r="AC1572" s="1079"/>
      <c r="AD1572" s="1080"/>
    </row>
    <row r="1573" spans="1:30" x14ac:dyDescent="0.2">
      <c r="A1573">
        <f t="shared" si="58"/>
        <v>43</v>
      </c>
      <c r="B1573">
        <v>1564</v>
      </c>
      <c r="C1573" s="1078">
        <v>3</v>
      </c>
      <c r="D1573" s="1077" t="s">
        <v>3602</v>
      </c>
      <c r="E1573" s="1077" t="s">
        <v>4283</v>
      </c>
      <c r="F1573" s="1079" t="s">
        <v>3913</v>
      </c>
      <c r="G1573" s="1079"/>
      <c r="H1573" s="1079"/>
      <c r="I1573" s="1079"/>
      <c r="J1573" s="1079"/>
      <c r="K1573" s="1079"/>
      <c r="L1573" s="1079"/>
      <c r="M1573" s="1079"/>
      <c r="N1573" s="1079"/>
      <c r="O1573" s="1079"/>
      <c r="P1573" s="1079"/>
      <c r="Q1573" s="1079"/>
      <c r="R1573" s="1079"/>
      <c r="S1573" s="1079"/>
      <c r="T1573" s="1079"/>
      <c r="U1573" s="1079"/>
      <c r="V1573" s="1079"/>
      <c r="W1573" s="1079">
        <v>5.9</v>
      </c>
      <c r="X1573" s="1079">
        <v>4.4000000000000004</v>
      </c>
      <c r="Y1573" s="1079">
        <v>5.3</v>
      </c>
      <c r="Z1573" s="1079">
        <v>2.9</v>
      </c>
      <c r="AA1573" s="1079"/>
      <c r="AB1573" s="1079"/>
      <c r="AC1573" s="1079"/>
      <c r="AD1573" s="1080"/>
    </row>
    <row r="1574" spans="1:30" x14ac:dyDescent="0.2">
      <c r="A1574">
        <f t="shared" si="58"/>
        <v>43</v>
      </c>
      <c r="B1574">
        <v>1565</v>
      </c>
      <c r="C1574" s="1078">
        <v>3</v>
      </c>
      <c r="D1574" s="1077" t="s">
        <v>3602</v>
      </c>
      <c r="E1574" s="1077" t="s">
        <v>4284</v>
      </c>
      <c r="F1574" s="1079" t="s">
        <v>3913</v>
      </c>
      <c r="G1574" s="1079"/>
      <c r="H1574" s="1079"/>
      <c r="I1574" s="1079"/>
      <c r="J1574" s="1079"/>
      <c r="K1574" s="1079"/>
      <c r="L1574" s="1079"/>
      <c r="M1574" s="1079"/>
      <c r="N1574" s="1079"/>
      <c r="O1574" s="1079"/>
      <c r="P1574" s="1079"/>
      <c r="Q1574" s="1079"/>
      <c r="R1574" s="1079"/>
      <c r="S1574" s="1079"/>
      <c r="T1574" s="1079"/>
      <c r="U1574" s="1079"/>
      <c r="V1574" s="1079"/>
      <c r="W1574" s="1079">
        <v>9.8000000000000007</v>
      </c>
      <c r="X1574" s="1079">
        <v>4.8</v>
      </c>
      <c r="Y1574" s="1079">
        <v>5.9</v>
      </c>
      <c r="Z1574" s="1079">
        <v>3.2</v>
      </c>
      <c r="AA1574" s="1079"/>
      <c r="AB1574" s="1079"/>
      <c r="AC1574" s="1079"/>
      <c r="AD1574" s="1080"/>
    </row>
    <row r="1575" spans="1:30" x14ac:dyDescent="0.2">
      <c r="A1575">
        <f t="shared" si="58"/>
        <v>43</v>
      </c>
      <c r="B1575">
        <v>1566</v>
      </c>
      <c r="C1575" s="1078">
        <v>3</v>
      </c>
      <c r="D1575" s="1077" t="s">
        <v>3602</v>
      </c>
      <c r="E1575" s="1077" t="s">
        <v>4285</v>
      </c>
      <c r="F1575" s="1079" t="s">
        <v>3913</v>
      </c>
      <c r="G1575" s="1079"/>
      <c r="H1575" s="1079"/>
      <c r="I1575" s="1079"/>
      <c r="J1575" s="1079"/>
      <c r="K1575" s="1079"/>
      <c r="L1575" s="1079"/>
      <c r="M1575" s="1079"/>
      <c r="N1575" s="1079"/>
      <c r="O1575" s="1079"/>
      <c r="P1575" s="1079"/>
      <c r="Q1575" s="1079"/>
      <c r="R1575" s="1079"/>
      <c r="S1575" s="1079"/>
      <c r="T1575" s="1079"/>
      <c r="U1575" s="1079"/>
      <c r="V1575" s="1079"/>
      <c r="W1575" s="1079">
        <v>12.3</v>
      </c>
      <c r="X1575" s="1079">
        <v>4.8</v>
      </c>
      <c r="Y1575" s="1079">
        <v>11.3</v>
      </c>
      <c r="Z1575" s="1079">
        <v>3.1</v>
      </c>
      <c r="AA1575" s="1079"/>
      <c r="AB1575" s="1079"/>
      <c r="AC1575" s="1079"/>
      <c r="AD1575" s="1080"/>
    </row>
    <row r="1576" spans="1:30" x14ac:dyDescent="0.2">
      <c r="A1576">
        <f t="shared" si="58"/>
        <v>43</v>
      </c>
      <c r="B1576">
        <v>1567</v>
      </c>
      <c r="C1576" s="1078">
        <v>3</v>
      </c>
      <c r="D1576" s="1077" t="s">
        <v>3602</v>
      </c>
      <c r="E1576" s="1077" t="s">
        <v>4286</v>
      </c>
      <c r="F1576" s="1079" t="s">
        <v>3913</v>
      </c>
      <c r="G1576" s="1079"/>
      <c r="H1576" s="1079"/>
      <c r="I1576" s="1079"/>
      <c r="J1576" s="1079"/>
      <c r="K1576" s="1079"/>
      <c r="L1576" s="1079"/>
      <c r="M1576" s="1079"/>
      <c r="N1576" s="1079"/>
      <c r="O1576" s="1079"/>
      <c r="P1576" s="1079"/>
      <c r="Q1576" s="1079"/>
      <c r="R1576" s="1079"/>
      <c r="S1576" s="1079"/>
      <c r="T1576" s="1079"/>
      <c r="U1576" s="1079"/>
      <c r="V1576" s="1079"/>
      <c r="W1576" s="1079">
        <v>15.9</v>
      </c>
      <c r="X1576" s="1079">
        <v>4.5</v>
      </c>
      <c r="Y1576" s="1079">
        <v>14.7</v>
      </c>
      <c r="Z1576" s="1079">
        <v>3.1</v>
      </c>
      <c r="AA1576" s="1079"/>
      <c r="AB1576" s="1079"/>
      <c r="AC1576" s="1079"/>
      <c r="AD1576" s="1080"/>
    </row>
    <row r="1577" spans="1:30" x14ac:dyDescent="0.2">
      <c r="A1577">
        <f t="shared" si="58"/>
        <v>43</v>
      </c>
      <c r="B1577">
        <v>1568</v>
      </c>
      <c r="C1577" s="1078">
        <v>3</v>
      </c>
      <c r="D1577" s="1077" t="s">
        <v>3602</v>
      </c>
      <c r="E1577" s="1077" t="s">
        <v>4287</v>
      </c>
      <c r="F1577" s="1079" t="s">
        <v>3913</v>
      </c>
      <c r="G1577" s="1079"/>
      <c r="H1577" s="1079"/>
      <c r="I1577" s="1079"/>
      <c r="J1577" s="1079"/>
      <c r="K1577" s="1079"/>
      <c r="L1577" s="1079"/>
      <c r="M1577" s="1079"/>
      <c r="N1577" s="1079"/>
      <c r="O1577" s="1079"/>
      <c r="P1577" s="1079"/>
      <c r="Q1577" s="1079"/>
      <c r="R1577" s="1079"/>
      <c r="S1577" s="1079"/>
      <c r="T1577" s="1079"/>
      <c r="U1577" s="1079"/>
      <c r="V1577" s="1079"/>
      <c r="W1577" s="1079">
        <v>22</v>
      </c>
      <c r="X1577" s="1079">
        <v>4.5</v>
      </c>
      <c r="Y1577" s="1079">
        <v>19.899999999999999</v>
      </c>
      <c r="Z1577" s="1079">
        <v>3.2</v>
      </c>
      <c r="AA1577" s="1079"/>
      <c r="AB1577" s="1079"/>
      <c r="AC1577" s="1079"/>
      <c r="AD1577" s="1080"/>
    </row>
    <row r="1578" spans="1:30" x14ac:dyDescent="0.2">
      <c r="A1578">
        <f t="shared" si="58"/>
        <v>43</v>
      </c>
      <c r="B1578">
        <v>1569</v>
      </c>
      <c r="C1578" s="1078">
        <v>3</v>
      </c>
      <c r="D1578" s="1077" t="s">
        <v>3602</v>
      </c>
      <c r="E1578" s="1077" t="s">
        <v>4288</v>
      </c>
      <c r="F1578" s="1079" t="s">
        <v>3913</v>
      </c>
      <c r="G1578" s="1079"/>
      <c r="H1578" s="1079"/>
      <c r="I1578" s="1079"/>
      <c r="J1578" s="1079"/>
      <c r="K1578" s="1079"/>
      <c r="L1578" s="1079"/>
      <c r="M1578" s="1079"/>
      <c r="N1578" s="1079"/>
      <c r="O1578" s="1079"/>
      <c r="P1578" s="1079"/>
      <c r="Q1578" s="1079"/>
      <c r="R1578" s="1079"/>
      <c r="S1578" s="1079"/>
      <c r="T1578" s="1079"/>
      <c r="U1578" s="1079"/>
      <c r="V1578" s="1079"/>
      <c r="W1578" s="1079"/>
      <c r="X1578" s="1079"/>
      <c r="Y1578" s="1079"/>
      <c r="Z1578" s="1079"/>
      <c r="AA1578" s="1079">
        <v>10.8</v>
      </c>
      <c r="AB1578" s="1079">
        <v>5.23</v>
      </c>
      <c r="AC1578" s="1079">
        <v>10.220000000000001</v>
      </c>
      <c r="AD1578" s="1080">
        <v>3.45</v>
      </c>
    </row>
    <row r="1579" spans="1:30" x14ac:dyDescent="0.2">
      <c r="A1579">
        <f t="shared" si="58"/>
        <v>43</v>
      </c>
      <c r="B1579">
        <v>1570</v>
      </c>
      <c r="C1579" s="1078">
        <v>3</v>
      </c>
      <c r="D1579" s="1077" t="s">
        <v>3602</v>
      </c>
      <c r="E1579" s="1077" t="s">
        <v>4289</v>
      </c>
      <c r="F1579" s="1079" t="s">
        <v>3913</v>
      </c>
      <c r="G1579" s="1079"/>
      <c r="H1579" s="1079"/>
      <c r="I1579" s="1079"/>
      <c r="J1579" s="1079"/>
      <c r="K1579" s="1079"/>
      <c r="L1579" s="1079"/>
      <c r="M1579" s="1079"/>
      <c r="N1579" s="1079"/>
      <c r="O1579" s="1079"/>
      <c r="P1579" s="1079"/>
      <c r="Q1579" s="1079"/>
      <c r="R1579" s="1079"/>
      <c r="S1579" s="1079"/>
      <c r="T1579" s="1079"/>
      <c r="U1579" s="1079"/>
      <c r="V1579" s="1079"/>
      <c r="W1579" s="1079"/>
      <c r="X1579" s="1079"/>
      <c r="Y1579" s="1079"/>
      <c r="Z1579" s="1079"/>
      <c r="AA1579" s="1079">
        <v>14</v>
      </c>
      <c r="AB1579" s="1079">
        <v>5.53</v>
      </c>
      <c r="AC1579" s="1079">
        <v>13.16</v>
      </c>
      <c r="AD1579" s="1080">
        <v>3.33</v>
      </c>
    </row>
    <row r="1580" spans="1:30" x14ac:dyDescent="0.2">
      <c r="A1580">
        <f t="shared" si="58"/>
        <v>43</v>
      </c>
      <c r="B1580">
        <v>1571</v>
      </c>
      <c r="C1580" s="1078">
        <v>3</v>
      </c>
      <c r="D1580" s="1077" t="s">
        <v>3602</v>
      </c>
      <c r="E1580" s="1077" t="s">
        <v>4290</v>
      </c>
      <c r="F1580" s="1079" t="s">
        <v>3913</v>
      </c>
      <c r="G1580" s="1079"/>
      <c r="H1580" s="1079"/>
      <c r="I1580" s="1079"/>
      <c r="J1580" s="1079"/>
      <c r="K1580" s="1079"/>
      <c r="L1580" s="1079"/>
      <c r="M1580" s="1079"/>
      <c r="N1580" s="1079"/>
      <c r="O1580" s="1079"/>
      <c r="P1580" s="1079"/>
      <c r="Q1580" s="1079"/>
      <c r="R1580" s="1079"/>
      <c r="S1580" s="1079"/>
      <c r="T1580" s="1079"/>
      <c r="U1580" s="1079"/>
      <c r="V1580" s="1079"/>
      <c r="W1580" s="1079"/>
      <c r="X1580" s="1079"/>
      <c r="Y1580" s="1079"/>
      <c r="Z1580" s="1079"/>
      <c r="AA1580" s="1079">
        <v>18.399999999999999</v>
      </c>
      <c r="AB1580" s="1079">
        <v>6.01</v>
      </c>
      <c r="AC1580" s="1079">
        <v>16.920000000000002</v>
      </c>
      <c r="AD1580" s="1080">
        <v>3.55</v>
      </c>
    </row>
    <row r="1581" spans="1:30" x14ac:dyDescent="0.2">
      <c r="A1581">
        <f t="shared" si="58"/>
        <v>43</v>
      </c>
      <c r="B1581">
        <v>1572</v>
      </c>
      <c r="C1581" s="1078">
        <v>3</v>
      </c>
      <c r="D1581" s="1077" t="s">
        <v>3602</v>
      </c>
      <c r="E1581" s="1077" t="s">
        <v>4291</v>
      </c>
      <c r="F1581" s="1079" t="s">
        <v>3913</v>
      </c>
      <c r="G1581" s="1079"/>
      <c r="H1581" s="1079"/>
      <c r="I1581" s="1079"/>
      <c r="J1581" s="1079"/>
      <c r="K1581" s="1079"/>
      <c r="L1581" s="1079"/>
      <c r="M1581" s="1079"/>
      <c r="N1581" s="1079"/>
      <c r="O1581" s="1079"/>
      <c r="P1581" s="1079"/>
      <c r="Q1581" s="1079"/>
      <c r="R1581" s="1079"/>
      <c r="S1581" s="1079"/>
      <c r="T1581" s="1079"/>
      <c r="U1581" s="1079"/>
      <c r="V1581" s="1079"/>
      <c r="W1581" s="1079"/>
      <c r="X1581" s="1079"/>
      <c r="Y1581" s="1079"/>
      <c r="Z1581" s="1079"/>
      <c r="AA1581" s="1079">
        <v>25.1</v>
      </c>
      <c r="AB1581" s="1079">
        <v>5.47</v>
      </c>
      <c r="AC1581" s="1079">
        <v>23.59</v>
      </c>
      <c r="AD1581" s="1080">
        <v>3.51</v>
      </c>
    </row>
    <row r="1582" spans="1:30" x14ac:dyDescent="0.2">
      <c r="A1582">
        <f t="shared" si="58"/>
        <v>43</v>
      </c>
      <c r="B1582">
        <v>1573</v>
      </c>
      <c r="C1582" s="1078">
        <v>3</v>
      </c>
      <c r="D1582" s="1077" t="s">
        <v>3602</v>
      </c>
      <c r="E1582" s="1077" t="s">
        <v>4914</v>
      </c>
      <c r="F1582" s="1079">
        <v>1</v>
      </c>
      <c r="G1582" s="1079"/>
      <c r="H1582" s="1079"/>
      <c r="I1582" s="1079"/>
      <c r="J1582" s="1079"/>
      <c r="K1582" s="1079"/>
      <c r="L1582" s="1079"/>
      <c r="M1582" s="1079"/>
      <c r="N1582" s="1079"/>
      <c r="O1582" s="1079"/>
      <c r="P1582" s="1079"/>
      <c r="Q1582" s="1079"/>
      <c r="R1582" s="1079"/>
      <c r="S1582" s="1079"/>
      <c r="T1582" s="1079"/>
      <c r="U1582" s="1079"/>
      <c r="V1582" s="1079"/>
      <c r="W1582" s="1079">
        <v>24.5</v>
      </c>
      <c r="X1582" s="1079">
        <v>4.4000000000000004</v>
      </c>
      <c r="Y1582" s="1079">
        <v>22.6</v>
      </c>
      <c r="Z1582" s="1079">
        <v>2.8</v>
      </c>
      <c r="AA1582" s="1079"/>
      <c r="AB1582" s="1079"/>
      <c r="AC1582" s="1079"/>
      <c r="AD1582" s="1080"/>
    </row>
    <row r="1583" spans="1:30" x14ac:dyDescent="0.2">
      <c r="A1583">
        <f t="shared" si="58"/>
        <v>43</v>
      </c>
      <c r="B1583">
        <v>1574</v>
      </c>
      <c r="C1583" s="1078">
        <v>3</v>
      </c>
      <c r="D1583" s="1077" t="s">
        <v>3602</v>
      </c>
      <c r="E1583" s="1077" t="s">
        <v>4915</v>
      </c>
      <c r="F1583" s="1079">
        <v>1</v>
      </c>
      <c r="G1583" s="1079"/>
      <c r="H1583" s="1079"/>
      <c r="I1583" s="1079"/>
      <c r="J1583" s="1079"/>
      <c r="K1583" s="1079"/>
      <c r="L1583" s="1079"/>
      <c r="M1583" s="1079"/>
      <c r="N1583" s="1079"/>
      <c r="O1583" s="1079"/>
      <c r="P1583" s="1079"/>
      <c r="Q1583" s="1079"/>
      <c r="R1583" s="1079"/>
      <c r="S1583" s="1079"/>
      <c r="T1583" s="1079"/>
      <c r="U1583" s="1079"/>
      <c r="V1583" s="1079"/>
      <c r="W1583" s="1079">
        <v>40.4</v>
      </c>
      <c r="X1583" s="1079">
        <v>4.7</v>
      </c>
      <c r="Y1583" s="1079">
        <v>36.5</v>
      </c>
      <c r="Z1583" s="1079">
        <v>3</v>
      </c>
      <c r="AA1583" s="1079"/>
      <c r="AB1583" s="1079"/>
      <c r="AC1583" s="1079"/>
      <c r="AD1583" s="1080"/>
    </row>
    <row r="1584" spans="1:30" x14ac:dyDescent="0.2">
      <c r="A1584">
        <f t="shared" si="58"/>
        <v>43</v>
      </c>
      <c r="B1584">
        <v>1575</v>
      </c>
      <c r="C1584" s="1078">
        <v>3</v>
      </c>
      <c r="D1584" s="1077" t="s">
        <v>3602</v>
      </c>
      <c r="E1584" s="1077" t="s">
        <v>4916</v>
      </c>
      <c r="F1584" s="1079">
        <v>1</v>
      </c>
      <c r="G1584" s="1079"/>
      <c r="H1584" s="1079"/>
      <c r="I1584" s="1079"/>
      <c r="J1584" s="1079"/>
      <c r="K1584" s="1079"/>
      <c r="L1584" s="1079"/>
      <c r="M1584" s="1079"/>
      <c r="N1584" s="1079"/>
      <c r="O1584" s="1079"/>
      <c r="P1584" s="1079"/>
      <c r="Q1584" s="1079"/>
      <c r="R1584" s="1079"/>
      <c r="S1584" s="1079"/>
      <c r="T1584" s="1079"/>
      <c r="U1584" s="1079"/>
      <c r="V1584" s="1079"/>
      <c r="W1584" s="1079">
        <v>77.5</v>
      </c>
      <c r="X1584" s="1079">
        <v>4.4000000000000004</v>
      </c>
      <c r="Y1584" s="1079">
        <v>67.2</v>
      </c>
      <c r="Z1584" s="1079">
        <v>2.8</v>
      </c>
      <c r="AA1584" s="1079"/>
      <c r="AB1584" s="1079"/>
      <c r="AC1584" s="1079"/>
      <c r="AD1584" s="1080"/>
    </row>
    <row r="1585" spans="1:30" x14ac:dyDescent="0.2">
      <c r="A1585">
        <f t="shared" si="58"/>
        <v>44</v>
      </c>
      <c r="B1585">
        <v>1576</v>
      </c>
      <c r="C1585" s="1078">
        <v>2</v>
      </c>
      <c r="D1585" s="1077" t="s">
        <v>4585</v>
      </c>
      <c r="E1585" s="1077" t="s">
        <v>4586</v>
      </c>
      <c r="F1585" s="1079">
        <v>4</v>
      </c>
      <c r="G1585" s="1079">
        <v>6.7</v>
      </c>
      <c r="H1585" s="1079">
        <v>2.5</v>
      </c>
      <c r="I1585" s="1079">
        <v>7.1</v>
      </c>
      <c r="J1585" s="1079">
        <v>2.7</v>
      </c>
      <c r="K1585" s="1079">
        <v>7.1</v>
      </c>
      <c r="L1585" s="1079">
        <v>3.6</v>
      </c>
      <c r="M1585" s="1079">
        <v>7.2</v>
      </c>
      <c r="N1585" s="1079">
        <v>4.8</v>
      </c>
      <c r="O1585" s="1079">
        <v>7.3</v>
      </c>
      <c r="P1585" s="1079">
        <v>6.1</v>
      </c>
      <c r="Q1585" s="1079">
        <v>6.8</v>
      </c>
      <c r="R1585" s="1079">
        <v>2.1</v>
      </c>
      <c r="S1585" s="1079">
        <v>7.1</v>
      </c>
      <c r="T1585" s="1079">
        <v>2.9</v>
      </c>
      <c r="U1585" s="1079">
        <v>7.4</v>
      </c>
      <c r="V1585" s="1079">
        <v>4</v>
      </c>
      <c r="W1585" s="1079"/>
      <c r="X1585" s="1079"/>
      <c r="Y1585" s="1079"/>
      <c r="Z1585" s="1079"/>
      <c r="AA1585" s="1079"/>
      <c r="AB1585" s="1079"/>
      <c r="AC1585" s="1079"/>
      <c r="AD1585" s="1080"/>
    </row>
    <row r="1586" spans="1:30" x14ac:dyDescent="0.2">
      <c r="A1586">
        <f t="shared" si="58"/>
        <v>44</v>
      </c>
      <c r="B1586">
        <v>1577</v>
      </c>
      <c r="C1586" s="1078">
        <v>2</v>
      </c>
      <c r="D1586" s="1077" t="s">
        <v>4585</v>
      </c>
      <c r="E1586" s="1077" t="s">
        <v>4587</v>
      </c>
      <c r="F1586" s="1079">
        <v>4</v>
      </c>
      <c r="G1586" s="1079">
        <v>10.7</v>
      </c>
      <c r="H1586" s="1079">
        <v>2.4</v>
      </c>
      <c r="I1586" s="1079">
        <v>11</v>
      </c>
      <c r="J1586" s="1079">
        <v>2.7</v>
      </c>
      <c r="K1586" s="1079">
        <v>11</v>
      </c>
      <c r="L1586" s="1079">
        <v>3.5</v>
      </c>
      <c r="M1586" s="1079">
        <v>11.1</v>
      </c>
      <c r="N1586" s="1079">
        <v>4.5999999999999996</v>
      </c>
      <c r="O1586" s="1079">
        <v>11.3</v>
      </c>
      <c r="P1586" s="1079">
        <v>5.9</v>
      </c>
      <c r="Q1586" s="1079">
        <v>10.4</v>
      </c>
      <c r="R1586" s="1079">
        <v>2</v>
      </c>
      <c r="S1586" s="1079">
        <v>11.1</v>
      </c>
      <c r="T1586" s="1079">
        <v>2.8</v>
      </c>
      <c r="U1586" s="1079">
        <v>11.5</v>
      </c>
      <c r="V1586" s="1079">
        <v>4</v>
      </c>
      <c r="W1586" s="1079"/>
      <c r="X1586" s="1079"/>
      <c r="Y1586" s="1079"/>
      <c r="Z1586" s="1079"/>
      <c r="AA1586" s="1079"/>
      <c r="AB1586" s="1079"/>
      <c r="AC1586" s="1079"/>
      <c r="AD1586" s="1080"/>
    </row>
    <row r="1587" spans="1:30" x14ac:dyDescent="0.2">
      <c r="A1587">
        <f t="shared" si="58"/>
        <v>44</v>
      </c>
      <c r="B1587">
        <v>1578</v>
      </c>
      <c r="C1587" s="1078">
        <v>2</v>
      </c>
      <c r="D1587" s="1077" t="s">
        <v>4585</v>
      </c>
      <c r="E1587" s="1077" t="s">
        <v>4588</v>
      </c>
      <c r="F1587" s="1079">
        <v>4</v>
      </c>
      <c r="G1587" s="1079">
        <v>13.7</v>
      </c>
      <c r="H1587" s="1079">
        <v>2.8</v>
      </c>
      <c r="I1587" s="1079">
        <v>14.1</v>
      </c>
      <c r="J1587" s="1079">
        <v>2.7</v>
      </c>
      <c r="K1587" s="1079">
        <v>14.2</v>
      </c>
      <c r="L1587" s="1079">
        <v>2.7</v>
      </c>
      <c r="M1587" s="1079">
        <v>14.1</v>
      </c>
      <c r="N1587" s="1079">
        <v>5</v>
      </c>
      <c r="O1587" s="1079">
        <v>14.4</v>
      </c>
      <c r="P1587" s="1079">
        <v>6.2</v>
      </c>
      <c r="Q1587" s="1079">
        <v>13.8</v>
      </c>
      <c r="R1587" s="1079">
        <v>2.2000000000000002</v>
      </c>
      <c r="S1587" s="1079">
        <v>14.1</v>
      </c>
      <c r="T1587" s="1079">
        <v>3.1</v>
      </c>
      <c r="U1587" s="1079">
        <v>14.5</v>
      </c>
      <c r="V1587" s="1079">
        <v>4.0999999999999996</v>
      </c>
      <c r="W1587" s="1079"/>
      <c r="X1587" s="1079"/>
      <c r="Y1587" s="1079"/>
      <c r="Z1587" s="1079"/>
      <c r="AA1587" s="1079"/>
      <c r="AB1587" s="1079"/>
      <c r="AC1587" s="1079"/>
      <c r="AD1587" s="1080"/>
    </row>
    <row r="1588" spans="1:30" x14ac:dyDescent="0.2">
      <c r="A1588">
        <f t="shared" si="58"/>
        <v>44</v>
      </c>
      <c r="B1588">
        <v>1579</v>
      </c>
      <c r="C1588" s="1078">
        <v>2</v>
      </c>
      <c r="D1588" s="1077" t="s">
        <v>4585</v>
      </c>
      <c r="E1588" s="1077" t="s">
        <v>4589</v>
      </c>
      <c r="F1588" s="1079">
        <v>4</v>
      </c>
      <c r="G1588" s="1079">
        <v>17.899999999999999</v>
      </c>
      <c r="H1588" s="1079">
        <v>2.5</v>
      </c>
      <c r="I1588" s="1079">
        <v>18.100000000000001</v>
      </c>
      <c r="J1588" s="1079">
        <v>2.7</v>
      </c>
      <c r="K1588" s="1079">
        <v>18.100000000000001</v>
      </c>
      <c r="L1588" s="1079">
        <v>3.6</v>
      </c>
      <c r="M1588" s="1079">
        <v>18.2</v>
      </c>
      <c r="N1588" s="1079">
        <v>4.9000000000000004</v>
      </c>
      <c r="O1588" s="1079">
        <v>18.3</v>
      </c>
      <c r="P1588" s="1079">
        <v>6.1</v>
      </c>
      <c r="Q1588" s="1079">
        <v>17.899999999999999</v>
      </c>
      <c r="R1588" s="1079">
        <v>2.1</v>
      </c>
      <c r="S1588" s="1079">
        <v>18.100000000000001</v>
      </c>
      <c r="T1588" s="1079">
        <v>3</v>
      </c>
      <c r="U1588" s="1079">
        <v>18.399999999999999</v>
      </c>
      <c r="V1588" s="1079">
        <v>4.0999999999999996</v>
      </c>
      <c r="W1588" s="1079"/>
      <c r="X1588" s="1079"/>
      <c r="Y1588" s="1079"/>
      <c r="Z1588" s="1079"/>
      <c r="AA1588" s="1079"/>
      <c r="AB1588" s="1079"/>
      <c r="AC1588" s="1079"/>
      <c r="AD1588" s="1080"/>
    </row>
    <row r="1589" spans="1:30" x14ac:dyDescent="0.2">
      <c r="A1589">
        <f t="shared" si="58"/>
        <v>45</v>
      </c>
      <c r="B1589">
        <v>1580</v>
      </c>
      <c r="C1589" s="1078">
        <v>2</v>
      </c>
      <c r="D1589" s="1077" t="s">
        <v>3603</v>
      </c>
      <c r="E1589" s="1077" t="s">
        <v>4622</v>
      </c>
      <c r="F1589" s="1079">
        <v>4</v>
      </c>
      <c r="G1589" s="1079">
        <v>4.3899999999999997</v>
      </c>
      <c r="H1589" s="1079">
        <v>2.14</v>
      </c>
      <c r="I1589" s="1079">
        <v>10.119999999999999</v>
      </c>
      <c r="J1589" s="1079">
        <v>2.6</v>
      </c>
      <c r="K1589" s="1079">
        <v>7</v>
      </c>
      <c r="L1589" s="1079">
        <v>3.55</v>
      </c>
      <c r="M1589" s="1079">
        <v>7.48</v>
      </c>
      <c r="N1589" s="1079">
        <v>4.7</v>
      </c>
      <c r="O1589" s="1079">
        <v>9.67</v>
      </c>
      <c r="P1589" s="1079">
        <v>6.51</v>
      </c>
      <c r="Q1589" s="1079">
        <v>9.8800000000000008</v>
      </c>
      <c r="R1589" s="1079">
        <v>1.95</v>
      </c>
      <c r="S1589" s="1079">
        <v>8.9700000000000006</v>
      </c>
      <c r="T1589" s="1079">
        <v>3.09</v>
      </c>
      <c r="U1589" s="1079">
        <v>8.6999999999999993</v>
      </c>
      <c r="V1589" s="1079">
        <v>3.8</v>
      </c>
      <c r="W1589" s="1079"/>
      <c r="X1589" s="1079"/>
      <c r="Y1589" s="1079"/>
      <c r="Z1589" s="1079"/>
      <c r="AA1589" s="1079"/>
      <c r="AB1589" s="1079"/>
      <c r="AC1589" s="1079"/>
      <c r="AD1589" s="1080"/>
    </row>
    <row r="1590" spans="1:30" x14ac:dyDescent="0.2">
      <c r="A1590">
        <f t="shared" si="58"/>
        <v>45</v>
      </c>
      <c r="B1590">
        <v>1581</v>
      </c>
      <c r="C1590" s="1078">
        <v>2</v>
      </c>
      <c r="D1590" s="1077" t="s">
        <v>3603</v>
      </c>
      <c r="E1590" s="1077" t="s">
        <v>5232</v>
      </c>
      <c r="F1590" s="1079">
        <v>4</v>
      </c>
      <c r="G1590" s="1079">
        <v>3.02</v>
      </c>
      <c r="H1590" s="1079">
        <v>2.33</v>
      </c>
      <c r="I1590" s="1079">
        <v>3.81</v>
      </c>
      <c r="J1590" s="1079">
        <v>3.81</v>
      </c>
      <c r="K1590" s="1079">
        <v>4.08</v>
      </c>
      <c r="L1590" s="1079">
        <v>3.57</v>
      </c>
      <c r="M1590" s="1079">
        <v>4.18</v>
      </c>
      <c r="N1590" s="1079">
        <v>4.5599999999999996</v>
      </c>
      <c r="O1590" s="1079">
        <v>6.47</v>
      </c>
      <c r="P1590" s="1079">
        <v>6.48</v>
      </c>
      <c r="Q1590" s="1079">
        <v>3.79</v>
      </c>
      <c r="R1590" s="1079">
        <v>1.95</v>
      </c>
      <c r="S1590" s="1079">
        <v>4.97</v>
      </c>
      <c r="T1590" s="1079">
        <v>2.64</v>
      </c>
      <c r="U1590" s="1079">
        <v>6.53</v>
      </c>
      <c r="V1590" s="1079">
        <v>3.54</v>
      </c>
      <c r="W1590" s="1079"/>
      <c r="X1590" s="1079"/>
      <c r="Y1590" s="1079"/>
      <c r="Z1590" s="1079"/>
      <c r="AA1590" s="1079"/>
      <c r="AB1590" s="1079"/>
      <c r="AC1590" s="1079"/>
      <c r="AD1590" s="1080"/>
    </row>
    <row r="1591" spans="1:30" x14ac:dyDescent="0.2">
      <c r="A1591">
        <f t="shared" si="58"/>
        <v>45</v>
      </c>
      <c r="B1591">
        <v>1582</v>
      </c>
      <c r="C1591" s="1078">
        <v>2</v>
      </c>
      <c r="D1591" s="1077" t="s">
        <v>3603</v>
      </c>
      <c r="E1591" s="1077" t="s">
        <v>5233</v>
      </c>
      <c r="F1591" s="1079">
        <v>4</v>
      </c>
      <c r="G1591" s="1079">
        <v>4.3499999999999996</v>
      </c>
      <c r="H1591" s="1079">
        <v>2.23</v>
      </c>
      <c r="I1591" s="1079">
        <v>5.7</v>
      </c>
      <c r="J1591" s="1079">
        <v>2.91</v>
      </c>
      <c r="K1591" s="1079">
        <v>5.54</v>
      </c>
      <c r="L1591" s="1079">
        <v>3.78</v>
      </c>
      <c r="M1591" s="1079">
        <v>6</v>
      </c>
      <c r="N1591" s="1079">
        <v>4.72</v>
      </c>
      <c r="O1591" s="1079">
        <v>8.11</v>
      </c>
      <c r="P1591" s="1079">
        <v>6.23</v>
      </c>
      <c r="Q1591" s="1079">
        <v>5.56</v>
      </c>
      <c r="R1591" s="1079">
        <v>1.96</v>
      </c>
      <c r="S1591" s="1079">
        <v>5.79</v>
      </c>
      <c r="T1591" s="1079">
        <v>2.91</v>
      </c>
      <c r="U1591" s="1079">
        <v>7.57</v>
      </c>
      <c r="V1591" s="1079">
        <v>3.54</v>
      </c>
      <c r="W1591" s="1079"/>
      <c r="X1591" s="1079"/>
      <c r="Y1591" s="1079"/>
      <c r="Z1591" s="1079"/>
      <c r="AA1591" s="1079"/>
      <c r="AB1591" s="1079"/>
      <c r="AC1591" s="1079"/>
      <c r="AD1591" s="1080"/>
    </row>
    <row r="1592" spans="1:30" x14ac:dyDescent="0.2">
      <c r="A1592">
        <f t="shared" si="58"/>
        <v>45</v>
      </c>
      <c r="B1592">
        <v>1583</v>
      </c>
      <c r="C1592" s="1078">
        <v>2</v>
      </c>
      <c r="D1592" s="1077" t="s">
        <v>3603</v>
      </c>
      <c r="E1592" s="1077" t="s">
        <v>5234</v>
      </c>
      <c r="F1592" s="1079">
        <v>4</v>
      </c>
      <c r="G1592" s="1079">
        <v>5.23</v>
      </c>
      <c r="H1592" s="1079">
        <v>2.36</v>
      </c>
      <c r="I1592" s="1079">
        <v>6.67</v>
      </c>
      <c r="J1592" s="1079">
        <v>2.89</v>
      </c>
      <c r="K1592" s="1079">
        <v>6.99</v>
      </c>
      <c r="L1592" s="1079">
        <v>3.96</v>
      </c>
      <c r="M1592" s="1079">
        <v>7.54</v>
      </c>
      <c r="N1592" s="1079">
        <v>4.71</v>
      </c>
      <c r="O1592" s="1079">
        <v>10.45</v>
      </c>
      <c r="P1592" s="1079">
        <v>6.53</v>
      </c>
      <c r="Q1592" s="1079">
        <v>6.64</v>
      </c>
      <c r="R1592" s="1079">
        <v>2.12</v>
      </c>
      <c r="S1592" s="1079">
        <v>6.82</v>
      </c>
      <c r="T1592" s="1079">
        <v>2.75</v>
      </c>
      <c r="U1592" s="1079">
        <v>9.7799999999999994</v>
      </c>
      <c r="V1592" s="1079">
        <v>3.66</v>
      </c>
      <c r="W1592" s="1079"/>
      <c r="X1592" s="1079"/>
      <c r="Y1592" s="1079"/>
      <c r="Z1592" s="1079"/>
      <c r="AA1592" s="1079"/>
      <c r="AB1592" s="1079"/>
      <c r="AC1592" s="1079"/>
      <c r="AD1592" s="1080"/>
    </row>
    <row r="1593" spans="1:30" x14ac:dyDescent="0.2">
      <c r="A1593">
        <f t="shared" si="58"/>
        <v>45</v>
      </c>
      <c r="B1593">
        <v>1584</v>
      </c>
      <c r="C1593" s="1078">
        <v>2</v>
      </c>
      <c r="D1593" s="1077" t="s">
        <v>3603</v>
      </c>
      <c r="E1593" s="1077" t="s">
        <v>5235</v>
      </c>
      <c r="F1593" s="1079">
        <v>4</v>
      </c>
      <c r="G1593" s="1079">
        <v>6.26</v>
      </c>
      <c r="H1593" s="1079">
        <v>2.48</v>
      </c>
      <c r="I1593" s="1079">
        <v>8.4499999999999993</v>
      </c>
      <c r="J1593" s="1079">
        <v>3.3</v>
      </c>
      <c r="K1593" s="1079">
        <v>9.6</v>
      </c>
      <c r="L1593" s="1079">
        <v>4.3099999999999996</v>
      </c>
      <c r="M1593" s="1079">
        <v>11.34</v>
      </c>
      <c r="N1593" s="1079">
        <v>5.12</v>
      </c>
      <c r="O1593" s="1079">
        <v>15.04</v>
      </c>
      <c r="P1593" s="1079">
        <v>7.12</v>
      </c>
      <c r="Q1593" s="1079">
        <v>9.1</v>
      </c>
      <c r="R1593" s="1079">
        <v>2.21</v>
      </c>
      <c r="S1593" s="1079">
        <v>12.17</v>
      </c>
      <c r="T1593" s="1079">
        <v>2.9</v>
      </c>
      <c r="U1593" s="1079">
        <v>14.67</v>
      </c>
      <c r="V1593" s="1079">
        <v>3.91</v>
      </c>
      <c r="W1593" s="1079"/>
      <c r="X1593" s="1079"/>
      <c r="Y1593" s="1079"/>
      <c r="Z1593" s="1079"/>
      <c r="AA1593" s="1079"/>
      <c r="AB1593" s="1079"/>
      <c r="AC1593" s="1079"/>
      <c r="AD1593" s="1080"/>
    </row>
    <row r="1594" spans="1:30" x14ac:dyDescent="0.2">
      <c r="A1594">
        <f t="shared" si="58"/>
        <v>45</v>
      </c>
      <c r="B1594">
        <v>1585</v>
      </c>
      <c r="C1594" s="1078">
        <v>2</v>
      </c>
      <c r="D1594" s="1077" t="s">
        <v>3603</v>
      </c>
      <c r="E1594" s="1077" t="s">
        <v>5236</v>
      </c>
      <c r="F1594" s="1079">
        <v>4</v>
      </c>
      <c r="G1594" s="1079">
        <v>7.61</v>
      </c>
      <c r="H1594" s="1079">
        <v>2.4900000000000002</v>
      </c>
      <c r="I1594" s="1079">
        <v>10.09</v>
      </c>
      <c r="J1594" s="1079">
        <v>3.18</v>
      </c>
      <c r="K1594" s="1079">
        <v>10.09</v>
      </c>
      <c r="L1594" s="1079">
        <v>4.09</v>
      </c>
      <c r="M1594" s="1079">
        <v>12.6</v>
      </c>
      <c r="N1594" s="1079">
        <v>5.01</v>
      </c>
      <c r="O1594" s="1079">
        <v>16.64</v>
      </c>
      <c r="P1594" s="1079">
        <v>7.24</v>
      </c>
      <c r="Q1594" s="1079">
        <v>10.08</v>
      </c>
      <c r="R1594" s="1079">
        <v>2.2200000000000002</v>
      </c>
      <c r="S1594" s="1079">
        <v>12.2</v>
      </c>
      <c r="T1594" s="1079">
        <v>2.96</v>
      </c>
      <c r="U1594" s="1079">
        <v>14.56</v>
      </c>
      <c r="V1594" s="1079">
        <v>3.99</v>
      </c>
      <c r="W1594" s="1079"/>
      <c r="X1594" s="1079"/>
      <c r="Y1594" s="1079"/>
      <c r="Z1594" s="1079"/>
      <c r="AA1594" s="1079"/>
      <c r="AB1594" s="1079"/>
      <c r="AC1594" s="1079"/>
      <c r="AD1594" s="1080"/>
    </row>
    <row r="1595" spans="1:30" x14ac:dyDescent="0.2">
      <c r="A1595">
        <f t="shared" si="58"/>
        <v>45</v>
      </c>
      <c r="B1595">
        <v>1586</v>
      </c>
      <c r="C1595" s="1078">
        <v>2</v>
      </c>
      <c r="D1595" s="1077" t="s">
        <v>3603</v>
      </c>
      <c r="E1595" s="1077" t="s">
        <v>5237</v>
      </c>
      <c r="F1595" s="1079">
        <v>4</v>
      </c>
      <c r="G1595" s="1079">
        <v>8.35</v>
      </c>
      <c r="H1595" s="1079">
        <v>2.42</v>
      </c>
      <c r="I1595" s="1079">
        <v>11.06</v>
      </c>
      <c r="J1595" s="1079">
        <v>3.07</v>
      </c>
      <c r="K1595" s="1079">
        <v>10.64</v>
      </c>
      <c r="L1595" s="1079">
        <v>4.0599999999999996</v>
      </c>
      <c r="M1595" s="1079">
        <v>13.7</v>
      </c>
      <c r="N1595" s="1079">
        <v>4.99</v>
      </c>
      <c r="O1595" s="1079">
        <v>17.53</v>
      </c>
      <c r="P1595" s="1079">
        <v>7.03</v>
      </c>
      <c r="Q1595" s="1079">
        <v>10.68</v>
      </c>
      <c r="R1595" s="1079">
        <v>2.21</v>
      </c>
      <c r="S1595" s="1079">
        <v>10.77</v>
      </c>
      <c r="T1595" s="1079">
        <v>3.01</v>
      </c>
      <c r="U1595" s="1079">
        <v>15.51</v>
      </c>
      <c r="V1595" s="1079">
        <v>3.98</v>
      </c>
      <c r="W1595" s="1079"/>
      <c r="X1595" s="1079"/>
      <c r="Y1595" s="1079"/>
      <c r="Z1595" s="1079"/>
      <c r="AA1595" s="1079"/>
      <c r="AB1595" s="1079"/>
      <c r="AC1595" s="1079"/>
      <c r="AD1595" s="1080"/>
    </row>
    <row r="1596" spans="1:30" x14ac:dyDescent="0.2">
      <c r="A1596">
        <f t="shared" si="58"/>
        <v>45</v>
      </c>
      <c r="B1596">
        <v>1587</v>
      </c>
      <c r="C1596" s="1078">
        <v>2</v>
      </c>
      <c r="D1596" s="1077" t="s">
        <v>3603</v>
      </c>
      <c r="E1596" s="1077" t="s">
        <v>5238</v>
      </c>
      <c r="F1596" s="1079">
        <v>4</v>
      </c>
      <c r="G1596" s="1079">
        <v>8.7799999999999994</v>
      </c>
      <c r="H1596" s="1079">
        <v>2.37</v>
      </c>
      <c r="I1596" s="1079">
        <v>11.6</v>
      </c>
      <c r="J1596" s="1079">
        <v>3</v>
      </c>
      <c r="K1596" s="1079">
        <v>11.18</v>
      </c>
      <c r="L1596" s="1079">
        <v>3.94</v>
      </c>
      <c r="M1596" s="1079">
        <v>14.7</v>
      </c>
      <c r="N1596" s="1079">
        <v>4.95</v>
      </c>
      <c r="O1596" s="1079">
        <v>18.38</v>
      </c>
      <c r="P1596" s="1079">
        <v>6.71</v>
      </c>
      <c r="Q1596" s="1079">
        <v>10.7</v>
      </c>
      <c r="R1596" s="1079">
        <v>2.2200000000000002</v>
      </c>
      <c r="S1596" s="1079">
        <v>11.16</v>
      </c>
      <c r="T1596" s="1079">
        <v>3</v>
      </c>
      <c r="U1596" s="1079">
        <v>16.440000000000001</v>
      </c>
      <c r="V1596" s="1079">
        <v>3.96</v>
      </c>
      <c r="W1596" s="1079"/>
      <c r="X1596" s="1079"/>
      <c r="Y1596" s="1079"/>
      <c r="Z1596" s="1079"/>
      <c r="AA1596" s="1079"/>
      <c r="AB1596" s="1079"/>
      <c r="AC1596" s="1079"/>
      <c r="AD1596" s="1080"/>
    </row>
    <row r="1597" spans="1:30" x14ac:dyDescent="0.2">
      <c r="A1597">
        <f t="shared" si="58"/>
        <v>45</v>
      </c>
      <c r="B1597">
        <v>1588</v>
      </c>
      <c r="C1597" s="1078">
        <v>2</v>
      </c>
      <c r="D1597" s="1077" t="s">
        <v>3603</v>
      </c>
      <c r="E1597" s="1077" t="s">
        <v>5239</v>
      </c>
      <c r="F1597" s="1079">
        <v>4</v>
      </c>
      <c r="G1597" s="1079">
        <v>3.02</v>
      </c>
      <c r="H1597" s="1079">
        <v>2.33</v>
      </c>
      <c r="I1597" s="1079">
        <v>3.81</v>
      </c>
      <c r="J1597" s="1079">
        <v>3.81</v>
      </c>
      <c r="K1597" s="1079">
        <v>4.08</v>
      </c>
      <c r="L1597" s="1079">
        <v>3.57</v>
      </c>
      <c r="M1597" s="1079">
        <v>4.18</v>
      </c>
      <c r="N1597" s="1079">
        <v>4.5599999999999996</v>
      </c>
      <c r="O1597" s="1079">
        <v>6.47</v>
      </c>
      <c r="P1597" s="1079">
        <v>6.48</v>
      </c>
      <c r="Q1597" s="1079">
        <v>3.79</v>
      </c>
      <c r="R1597" s="1079">
        <v>1.95</v>
      </c>
      <c r="S1597" s="1079">
        <v>4.97</v>
      </c>
      <c r="T1597" s="1079">
        <v>2.64</v>
      </c>
      <c r="U1597" s="1079">
        <v>6.53</v>
      </c>
      <c r="V1597" s="1079">
        <v>3.54</v>
      </c>
      <c r="W1597" s="1079"/>
      <c r="X1597" s="1079"/>
      <c r="Y1597" s="1079"/>
      <c r="Z1597" s="1079"/>
      <c r="AA1597" s="1079"/>
      <c r="AB1597" s="1079"/>
      <c r="AC1597" s="1079"/>
      <c r="AD1597" s="1080"/>
    </row>
    <row r="1598" spans="1:30" x14ac:dyDescent="0.2">
      <c r="A1598">
        <f t="shared" si="58"/>
        <v>45</v>
      </c>
      <c r="B1598">
        <v>1589</v>
      </c>
      <c r="C1598" s="1078">
        <v>2</v>
      </c>
      <c r="D1598" s="1077" t="s">
        <v>3603</v>
      </c>
      <c r="E1598" s="1077" t="s">
        <v>5240</v>
      </c>
      <c r="F1598" s="1079">
        <v>4</v>
      </c>
      <c r="G1598" s="1079">
        <v>4.3499999999999996</v>
      </c>
      <c r="H1598" s="1079">
        <v>2.23</v>
      </c>
      <c r="I1598" s="1079">
        <v>5.7</v>
      </c>
      <c r="J1598" s="1079">
        <v>2.91</v>
      </c>
      <c r="K1598" s="1079">
        <v>5.54</v>
      </c>
      <c r="L1598" s="1079">
        <v>3.78</v>
      </c>
      <c r="M1598" s="1079">
        <v>6</v>
      </c>
      <c r="N1598" s="1079">
        <v>4.72</v>
      </c>
      <c r="O1598" s="1079">
        <v>8.11</v>
      </c>
      <c r="P1598" s="1079">
        <v>6.23</v>
      </c>
      <c r="Q1598" s="1079">
        <v>5.56</v>
      </c>
      <c r="R1598" s="1079">
        <v>1.96</v>
      </c>
      <c r="S1598" s="1079">
        <v>5.79</v>
      </c>
      <c r="T1598" s="1079">
        <v>2.91</v>
      </c>
      <c r="U1598" s="1079">
        <v>7.57</v>
      </c>
      <c r="V1598" s="1079">
        <v>3.54</v>
      </c>
      <c r="W1598" s="1079"/>
      <c r="X1598" s="1079"/>
      <c r="Y1598" s="1079"/>
      <c r="Z1598" s="1079"/>
      <c r="AA1598" s="1079"/>
      <c r="AB1598" s="1079"/>
      <c r="AC1598" s="1079"/>
      <c r="AD1598" s="1080"/>
    </row>
    <row r="1599" spans="1:30" x14ac:dyDescent="0.2">
      <c r="A1599">
        <f t="shared" si="58"/>
        <v>45</v>
      </c>
      <c r="B1599">
        <v>1590</v>
      </c>
      <c r="C1599" s="1078">
        <v>2</v>
      </c>
      <c r="D1599" s="1077" t="s">
        <v>3603</v>
      </c>
      <c r="E1599" s="1077" t="s">
        <v>5241</v>
      </c>
      <c r="F1599" s="1079">
        <v>4</v>
      </c>
      <c r="G1599" s="1079">
        <v>5.23</v>
      </c>
      <c r="H1599" s="1079">
        <v>2.36</v>
      </c>
      <c r="I1599" s="1079">
        <v>6.67</v>
      </c>
      <c r="J1599" s="1079">
        <v>2.89</v>
      </c>
      <c r="K1599" s="1079">
        <v>6.99</v>
      </c>
      <c r="L1599" s="1079">
        <v>3.96</v>
      </c>
      <c r="M1599" s="1079">
        <v>7.54</v>
      </c>
      <c r="N1599" s="1079">
        <v>4.71</v>
      </c>
      <c r="O1599" s="1079">
        <v>10.45</v>
      </c>
      <c r="P1599" s="1079">
        <v>6.53</v>
      </c>
      <c r="Q1599" s="1079">
        <v>6.64</v>
      </c>
      <c r="R1599" s="1079">
        <v>2.12</v>
      </c>
      <c r="S1599" s="1079">
        <v>6.82</v>
      </c>
      <c r="T1599" s="1079">
        <v>2.75</v>
      </c>
      <c r="U1599" s="1079">
        <v>9.7799999999999994</v>
      </c>
      <c r="V1599" s="1079">
        <v>3.66</v>
      </c>
      <c r="W1599" s="1079"/>
      <c r="X1599" s="1079"/>
      <c r="Y1599" s="1079"/>
      <c r="Z1599" s="1079"/>
      <c r="AA1599" s="1079"/>
      <c r="AB1599" s="1079"/>
      <c r="AC1599" s="1079"/>
      <c r="AD1599" s="1080"/>
    </row>
    <row r="1600" spans="1:30" x14ac:dyDescent="0.2">
      <c r="A1600">
        <f t="shared" si="58"/>
        <v>45</v>
      </c>
      <c r="B1600">
        <v>1591</v>
      </c>
      <c r="C1600" s="1078">
        <v>2</v>
      </c>
      <c r="D1600" s="1077" t="s">
        <v>3603</v>
      </c>
      <c r="E1600" s="1077" t="s">
        <v>5242</v>
      </c>
      <c r="F1600" s="1079">
        <v>4</v>
      </c>
      <c r="G1600" s="1079">
        <v>6.26</v>
      </c>
      <c r="H1600" s="1079">
        <v>2.48</v>
      </c>
      <c r="I1600" s="1079">
        <v>8.4499999999999993</v>
      </c>
      <c r="J1600" s="1079">
        <v>3.3</v>
      </c>
      <c r="K1600" s="1079">
        <v>9.6</v>
      </c>
      <c r="L1600" s="1079">
        <v>4.3099999999999996</v>
      </c>
      <c r="M1600" s="1079">
        <v>11.34</v>
      </c>
      <c r="N1600" s="1079">
        <v>5.12</v>
      </c>
      <c r="O1600" s="1079">
        <v>15.04</v>
      </c>
      <c r="P1600" s="1079">
        <v>7.12</v>
      </c>
      <c r="Q1600" s="1079">
        <v>9.1</v>
      </c>
      <c r="R1600" s="1079">
        <v>2.21</v>
      </c>
      <c r="S1600" s="1079">
        <v>12.17</v>
      </c>
      <c r="T1600" s="1079">
        <v>2.9</v>
      </c>
      <c r="U1600" s="1079">
        <v>14.67</v>
      </c>
      <c r="V1600" s="1079">
        <v>3.91</v>
      </c>
      <c r="W1600" s="1079"/>
      <c r="X1600" s="1079"/>
      <c r="Y1600" s="1079"/>
      <c r="Z1600" s="1079"/>
      <c r="AA1600" s="1079"/>
      <c r="AB1600" s="1079"/>
      <c r="AC1600" s="1079"/>
      <c r="AD1600" s="1080"/>
    </row>
    <row r="1601" spans="1:30" x14ac:dyDescent="0.2">
      <c r="A1601">
        <f t="shared" si="58"/>
        <v>45</v>
      </c>
      <c r="B1601">
        <v>1592</v>
      </c>
      <c r="C1601" s="1078">
        <v>2</v>
      </c>
      <c r="D1601" s="1077" t="s">
        <v>3603</v>
      </c>
      <c r="E1601" s="1077" t="s">
        <v>5243</v>
      </c>
      <c r="F1601" s="1079">
        <v>4</v>
      </c>
      <c r="G1601" s="1079">
        <v>7.61</v>
      </c>
      <c r="H1601" s="1079">
        <v>2.4900000000000002</v>
      </c>
      <c r="I1601" s="1079">
        <v>10.09</v>
      </c>
      <c r="J1601" s="1079">
        <v>3.18</v>
      </c>
      <c r="K1601" s="1079">
        <v>10.09</v>
      </c>
      <c r="L1601" s="1079">
        <v>4.09</v>
      </c>
      <c r="M1601" s="1079">
        <v>12.6</v>
      </c>
      <c r="N1601" s="1079">
        <v>5.01</v>
      </c>
      <c r="O1601" s="1079">
        <v>16.64</v>
      </c>
      <c r="P1601" s="1079">
        <v>7.24</v>
      </c>
      <c r="Q1601" s="1079">
        <v>10.08</v>
      </c>
      <c r="R1601" s="1079">
        <v>2.2200000000000002</v>
      </c>
      <c r="S1601" s="1079">
        <v>12.2</v>
      </c>
      <c r="T1601" s="1079">
        <v>2.96</v>
      </c>
      <c r="U1601" s="1079">
        <v>14.56</v>
      </c>
      <c r="V1601" s="1079">
        <v>3.99</v>
      </c>
      <c r="W1601" s="1079"/>
      <c r="X1601" s="1079"/>
      <c r="Y1601" s="1079"/>
      <c r="Z1601" s="1079"/>
      <c r="AA1601" s="1079"/>
      <c r="AB1601" s="1079"/>
      <c r="AC1601" s="1079"/>
      <c r="AD1601" s="1080"/>
    </row>
    <row r="1602" spans="1:30" x14ac:dyDescent="0.2">
      <c r="A1602">
        <f t="shared" si="58"/>
        <v>45</v>
      </c>
      <c r="B1602">
        <v>1593</v>
      </c>
      <c r="C1602" s="1078">
        <v>2</v>
      </c>
      <c r="D1602" s="1077" t="s">
        <v>3603</v>
      </c>
      <c r="E1602" s="1077" t="s">
        <v>5244</v>
      </c>
      <c r="F1602" s="1079">
        <v>4</v>
      </c>
      <c r="G1602" s="1079">
        <v>8.35</v>
      </c>
      <c r="H1602" s="1079">
        <v>2.42</v>
      </c>
      <c r="I1602" s="1079">
        <v>11.06</v>
      </c>
      <c r="J1602" s="1079">
        <v>3.07</v>
      </c>
      <c r="K1602" s="1079">
        <v>10.64</v>
      </c>
      <c r="L1602" s="1079">
        <v>4.0599999999999996</v>
      </c>
      <c r="M1602" s="1079">
        <v>13.7</v>
      </c>
      <c r="N1602" s="1079">
        <v>4.99</v>
      </c>
      <c r="O1602" s="1079">
        <v>17.53</v>
      </c>
      <c r="P1602" s="1079">
        <v>7.03</v>
      </c>
      <c r="Q1602" s="1079">
        <v>10.68</v>
      </c>
      <c r="R1602" s="1079">
        <v>2.21</v>
      </c>
      <c r="S1602" s="1079">
        <v>10.77</v>
      </c>
      <c r="T1602" s="1079">
        <v>3.01</v>
      </c>
      <c r="U1602" s="1079">
        <v>15.51</v>
      </c>
      <c r="V1602" s="1079">
        <v>3.98</v>
      </c>
      <c r="W1602" s="1079"/>
      <c r="X1602" s="1079"/>
      <c r="Y1602" s="1079"/>
      <c r="Z1602" s="1079"/>
      <c r="AA1602" s="1079"/>
      <c r="AB1602" s="1079"/>
      <c r="AC1602" s="1079"/>
      <c r="AD1602" s="1080"/>
    </row>
    <row r="1603" spans="1:30" x14ac:dyDescent="0.2">
      <c r="A1603">
        <f t="shared" si="58"/>
        <v>45</v>
      </c>
      <c r="B1603">
        <v>1594</v>
      </c>
      <c r="C1603" s="1078">
        <v>2</v>
      </c>
      <c r="D1603" s="1077" t="s">
        <v>3603</v>
      </c>
      <c r="E1603" s="1077" t="s">
        <v>5245</v>
      </c>
      <c r="F1603" s="1079">
        <v>4</v>
      </c>
      <c r="G1603" s="1079">
        <v>8.7799999999999994</v>
      </c>
      <c r="H1603" s="1079">
        <v>2.37</v>
      </c>
      <c r="I1603" s="1079">
        <v>11.6</v>
      </c>
      <c r="J1603" s="1079">
        <v>3</v>
      </c>
      <c r="K1603" s="1079">
        <v>11.18</v>
      </c>
      <c r="L1603" s="1079">
        <v>3.94</v>
      </c>
      <c r="M1603" s="1079">
        <v>14.7</v>
      </c>
      <c r="N1603" s="1079">
        <v>4.95</v>
      </c>
      <c r="O1603" s="1079">
        <v>18.38</v>
      </c>
      <c r="P1603" s="1079">
        <v>6.71</v>
      </c>
      <c r="Q1603" s="1079">
        <v>10.7</v>
      </c>
      <c r="R1603" s="1079">
        <v>2.2200000000000002</v>
      </c>
      <c r="S1603" s="1079">
        <v>11.16</v>
      </c>
      <c r="T1603" s="1079">
        <v>3</v>
      </c>
      <c r="U1603" s="1079">
        <v>16.440000000000001</v>
      </c>
      <c r="V1603" s="1079">
        <v>3.96</v>
      </c>
      <c r="W1603" s="1079"/>
      <c r="X1603" s="1079"/>
      <c r="Y1603" s="1079"/>
      <c r="Z1603" s="1079"/>
      <c r="AA1603" s="1079"/>
      <c r="AB1603" s="1079"/>
      <c r="AC1603" s="1079"/>
      <c r="AD1603" s="1080"/>
    </row>
    <row r="1604" spans="1:30" x14ac:dyDescent="0.2">
      <c r="A1604">
        <f t="shared" si="58"/>
        <v>45</v>
      </c>
      <c r="B1604">
        <v>1595</v>
      </c>
      <c r="C1604" s="1078">
        <v>2</v>
      </c>
      <c r="D1604" s="1077" t="s">
        <v>3603</v>
      </c>
      <c r="E1604" s="1077" t="s">
        <v>5246</v>
      </c>
      <c r="F1604" s="1079">
        <v>1</v>
      </c>
      <c r="G1604" s="1079">
        <v>6.7</v>
      </c>
      <c r="H1604" s="1079">
        <v>2.5</v>
      </c>
      <c r="I1604" s="1079">
        <v>8.6999999999999993</v>
      </c>
      <c r="J1604" s="1079">
        <v>3</v>
      </c>
      <c r="K1604" s="1079">
        <v>10.6</v>
      </c>
      <c r="L1604" s="1079">
        <v>3.6</v>
      </c>
      <c r="M1604" s="1079">
        <v>12.7</v>
      </c>
      <c r="N1604" s="1079">
        <v>4.0999999999999996</v>
      </c>
      <c r="O1604" s="1079"/>
      <c r="P1604" s="1079"/>
      <c r="Q1604" s="1079">
        <v>9.3000000000000007</v>
      </c>
      <c r="R1604" s="1079">
        <v>2.2000000000000002</v>
      </c>
      <c r="S1604" s="1079">
        <v>10.5</v>
      </c>
      <c r="T1604" s="1079">
        <v>3</v>
      </c>
      <c r="U1604" s="1079">
        <v>15.6</v>
      </c>
      <c r="V1604" s="1079">
        <v>3.5</v>
      </c>
      <c r="W1604" s="1079"/>
      <c r="X1604" s="1079"/>
      <c r="Y1604" s="1079"/>
      <c r="Z1604" s="1079"/>
      <c r="AA1604" s="1079"/>
      <c r="AB1604" s="1079"/>
      <c r="AC1604" s="1079"/>
      <c r="AD1604" s="1080"/>
    </row>
    <row r="1605" spans="1:30" x14ac:dyDescent="0.2">
      <c r="A1605">
        <f t="shared" si="58"/>
        <v>45</v>
      </c>
      <c r="B1605">
        <v>1596</v>
      </c>
      <c r="C1605" s="1078">
        <v>2</v>
      </c>
      <c r="D1605" s="1077" t="s">
        <v>3603</v>
      </c>
      <c r="E1605" s="1077" t="s">
        <v>5355</v>
      </c>
      <c r="F1605" s="1079">
        <v>1</v>
      </c>
      <c r="G1605" s="1079">
        <v>10.199999999999999</v>
      </c>
      <c r="H1605" s="1079">
        <v>2.5499999999999998</v>
      </c>
      <c r="I1605" s="1079">
        <v>12.2</v>
      </c>
      <c r="J1605" s="1079">
        <v>2.94</v>
      </c>
      <c r="K1605" s="1079">
        <v>14.5</v>
      </c>
      <c r="L1605" s="1079">
        <v>3.5</v>
      </c>
      <c r="M1605" s="1079">
        <v>15.9</v>
      </c>
      <c r="N1605" s="1079">
        <v>3.8</v>
      </c>
      <c r="O1605" s="1079"/>
      <c r="P1605" s="1079"/>
      <c r="Q1605" s="1079">
        <v>13.9</v>
      </c>
      <c r="R1605" s="1079">
        <v>2.2999999999999998</v>
      </c>
      <c r="S1605" s="1079">
        <v>16.399999999999999</v>
      </c>
      <c r="T1605" s="1079">
        <v>2.7</v>
      </c>
      <c r="U1605" s="1079">
        <v>23.9</v>
      </c>
      <c r="V1605" s="1079">
        <v>3.6</v>
      </c>
      <c r="W1605" s="1079"/>
      <c r="X1605" s="1079"/>
      <c r="Y1605" s="1079"/>
      <c r="Z1605" s="1079"/>
      <c r="AA1605" s="1079"/>
      <c r="AB1605" s="1079"/>
      <c r="AC1605" s="1079"/>
      <c r="AD1605" s="1080"/>
    </row>
    <row r="1606" spans="1:30" x14ac:dyDescent="0.2">
      <c r="A1606">
        <f t="shared" si="58"/>
        <v>45</v>
      </c>
      <c r="B1606">
        <v>1597</v>
      </c>
      <c r="C1606" s="1078">
        <v>2</v>
      </c>
      <c r="D1606" s="1077" t="s">
        <v>3603</v>
      </c>
      <c r="E1606" s="1077" t="s">
        <v>5247</v>
      </c>
      <c r="F1606" s="1079">
        <v>1</v>
      </c>
      <c r="G1606" s="1079">
        <v>12.4</v>
      </c>
      <c r="H1606" s="1079">
        <v>2.25</v>
      </c>
      <c r="I1606" s="1079">
        <v>15</v>
      </c>
      <c r="J1606" s="1079">
        <v>2.59</v>
      </c>
      <c r="K1606" s="1079">
        <v>18.5</v>
      </c>
      <c r="L1606" s="1079">
        <v>3.2</v>
      </c>
      <c r="M1606" s="1079">
        <v>20.6</v>
      </c>
      <c r="N1606" s="1079">
        <v>3.4</v>
      </c>
      <c r="O1606" s="1079"/>
      <c r="P1606" s="1079"/>
      <c r="Q1606" s="1079">
        <v>16.3</v>
      </c>
      <c r="R1606" s="1079">
        <v>2.1</v>
      </c>
      <c r="S1606" s="1079">
        <v>22.3</v>
      </c>
      <c r="T1606" s="1079">
        <v>2.6</v>
      </c>
      <c r="U1606" s="1079">
        <v>24.6</v>
      </c>
      <c r="V1606" s="1079">
        <v>3</v>
      </c>
      <c r="W1606" s="1079"/>
      <c r="X1606" s="1079"/>
      <c r="Y1606" s="1079"/>
      <c r="Z1606" s="1079"/>
      <c r="AA1606" s="1079"/>
      <c r="AB1606" s="1079"/>
      <c r="AC1606" s="1079"/>
      <c r="AD1606" s="1080"/>
    </row>
    <row r="1607" spans="1:30" x14ac:dyDescent="0.2">
      <c r="A1607">
        <f t="shared" si="58"/>
        <v>45</v>
      </c>
      <c r="B1607">
        <v>1598</v>
      </c>
      <c r="C1607" s="1078">
        <v>2</v>
      </c>
      <c r="D1607" s="1077" t="s">
        <v>3603</v>
      </c>
      <c r="E1607" s="1077" t="s">
        <v>5248</v>
      </c>
      <c r="F1607" s="1079">
        <v>1</v>
      </c>
      <c r="G1607" s="1079">
        <v>6.7</v>
      </c>
      <c r="H1607" s="1079">
        <v>2.5</v>
      </c>
      <c r="I1607" s="1079">
        <v>8.6999999999999993</v>
      </c>
      <c r="J1607" s="1079">
        <v>3</v>
      </c>
      <c r="K1607" s="1079">
        <v>10.6</v>
      </c>
      <c r="L1607" s="1079">
        <v>3.6</v>
      </c>
      <c r="M1607" s="1079">
        <v>12.7</v>
      </c>
      <c r="N1607" s="1079">
        <v>4.0999999999999996</v>
      </c>
      <c r="O1607" s="1079"/>
      <c r="P1607" s="1079"/>
      <c r="Q1607" s="1079">
        <v>9.3000000000000007</v>
      </c>
      <c r="R1607" s="1079">
        <v>2.2000000000000002</v>
      </c>
      <c r="S1607" s="1079">
        <v>10.5</v>
      </c>
      <c r="T1607" s="1079">
        <v>3</v>
      </c>
      <c r="U1607" s="1079">
        <v>15.6</v>
      </c>
      <c r="V1607" s="1079">
        <v>3.5</v>
      </c>
      <c r="W1607" s="1079"/>
      <c r="X1607" s="1079"/>
      <c r="Y1607" s="1079"/>
      <c r="Z1607" s="1079"/>
      <c r="AA1607" s="1079"/>
      <c r="AB1607" s="1079"/>
      <c r="AC1607" s="1079"/>
      <c r="AD1607" s="1080"/>
    </row>
    <row r="1608" spans="1:30" x14ac:dyDescent="0.2">
      <c r="A1608">
        <f t="shared" si="58"/>
        <v>45</v>
      </c>
      <c r="B1608">
        <v>1599</v>
      </c>
      <c r="C1608" s="1078">
        <v>2</v>
      </c>
      <c r="D1608" s="1077" t="s">
        <v>3603</v>
      </c>
      <c r="E1608" s="1077" t="s">
        <v>5249</v>
      </c>
      <c r="F1608" s="1079">
        <v>1</v>
      </c>
      <c r="G1608" s="1079">
        <v>10.199999999999999</v>
      </c>
      <c r="H1608" s="1079">
        <v>2.5499999999999998</v>
      </c>
      <c r="I1608" s="1079">
        <v>12.2</v>
      </c>
      <c r="J1608" s="1079">
        <v>2.94</v>
      </c>
      <c r="K1608" s="1079">
        <v>14.5</v>
      </c>
      <c r="L1608" s="1079">
        <v>3.5</v>
      </c>
      <c r="M1608" s="1079">
        <v>15.9</v>
      </c>
      <c r="N1608" s="1079">
        <v>3.8</v>
      </c>
      <c r="O1608" s="1079"/>
      <c r="P1608" s="1079"/>
      <c r="Q1608" s="1079">
        <v>13.9</v>
      </c>
      <c r="R1608" s="1079">
        <v>2.2999999999999998</v>
      </c>
      <c r="S1608" s="1079">
        <v>16.399999999999999</v>
      </c>
      <c r="T1608" s="1079">
        <v>2.7</v>
      </c>
      <c r="U1608" s="1079">
        <v>23.9</v>
      </c>
      <c r="V1608" s="1079">
        <v>3.6</v>
      </c>
      <c r="W1608" s="1079"/>
      <c r="X1608" s="1079"/>
      <c r="Y1608" s="1079"/>
      <c r="Z1608" s="1079"/>
      <c r="AA1608" s="1079"/>
      <c r="AB1608" s="1079"/>
      <c r="AC1608" s="1079"/>
      <c r="AD1608" s="1080"/>
    </row>
    <row r="1609" spans="1:30" x14ac:dyDescent="0.2">
      <c r="A1609">
        <f t="shared" si="58"/>
        <v>45</v>
      </c>
      <c r="B1609">
        <v>1600</v>
      </c>
      <c r="C1609" s="1078">
        <v>2</v>
      </c>
      <c r="D1609" s="1077" t="s">
        <v>3603</v>
      </c>
      <c r="E1609" s="1077" t="s">
        <v>5250</v>
      </c>
      <c r="F1609" s="1079">
        <v>1</v>
      </c>
      <c r="G1609" s="1079">
        <v>12.4</v>
      </c>
      <c r="H1609" s="1079">
        <v>2.25</v>
      </c>
      <c r="I1609" s="1079">
        <v>15</v>
      </c>
      <c r="J1609" s="1079">
        <v>2.59</v>
      </c>
      <c r="K1609" s="1079">
        <v>18.5</v>
      </c>
      <c r="L1609" s="1079">
        <v>3.2</v>
      </c>
      <c r="M1609" s="1079">
        <v>20.6</v>
      </c>
      <c r="N1609" s="1079">
        <v>3.4</v>
      </c>
      <c r="O1609" s="1079"/>
      <c r="P1609" s="1079"/>
      <c r="Q1609" s="1079">
        <v>16.3</v>
      </c>
      <c r="R1609" s="1079">
        <v>2.1</v>
      </c>
      <c r="S1609" s="1079">
        <v>22.3</v>
      </c>
      <c r="T1609" s="1079">
        <v>2.6</v>
      </c>
      <c r="U1609" s="1079">
        <v>24.6</v>
      </c>
      <c r="V1609" s="1079">
        <v>3</v>
      </c>
      <c r="W1609" s="1079"/>
      <c r="X1609" s="1079"/>
      <c r="Y1609" s="1079"/>
      <c r="Z1609" s="1079"/>
      <c r="AA1609" s="1079"/>
      <c r="AB1609" s="1079"/>
      <c r="AC1609" s="1079"/>
      <c r="AD1609" s="1080"/>
    </row>
    <row r="1610" spans="1:30" x14ac:dyDescent="0.2">
      <c r="A1610">
        <f t="shared" si="58"/>
        <v>45</v>
      </c>
      <c r="B1610">
        <v>1601</v>
      </c>
      <c r="C1610" s="1078">
        <v>2</v>
      </c>
      <c r="D1610" s="1077" t="s">
        <v>3603</v>
      </c>
      <c r="E1610" s="1077" t="s">
        <v>5251</v>
      </c>
      <c r="F1610" s="1079">
        <v>4</v>
      </c>
      <c r="G1610" s="1079">
        <v>4.24</v>
      </c>
      <c r="H1610" s="1079">
        <v>2.65</v>
      </c>
      <c r="I1610" s="1079">
        <v>5.5</v>
      </c>
      <c r="J1610" s="1079">
        <v>3.05</v>
      </c>
      <c r="K1610" s="1079">
        <v>5</v>
      </c>
      <c r="L1610" s="1079">
        <v>4.0599999999999996</v>
      </c>
      <c r="M1610" s="1079">
        <v>7.5</v>
      </c>
      <c r="N1610" s="1079">
        <v>5.12</v>
      </c>
      <c r="O1610" s="1079">
        <v>9.68</v>
      </c>
      <c r="P1610" s="1079">
        <v>6.92</v>
      </c>
      <c r="Q1610" s="1079">
        <v>4.42</v>
      </c>
      <c r="R1610" s="1079">
        <v>1.92</v>
      </c>
      <c r="S1610" s="1079">
        <v>6.47</v>
      </c>
      <c r="T1610" s="1079">
        <v>2.78</v>
      </c>
      <c r="U1610" s="1079">
        <v>9.84</v>
      </c>
      <c r="V1610" s="1079">
        <v>4.51</v>
      </c>
      <c r="W1610" s="1079"/>
      <c r="X1610" s="1079"/>
      <c r="Y1610" s="1079"/>
      <c r="Z1610" s="1079"/>
      <c r="AA1610" s="1079"/>
      <c r="AB1610" s="1079"/>
      <c r="AC1610" s="1079"/>
      <c r="AD1610" s="1080"/>
    </row>
    <row r="1611" spans="1:30" x14ac:dyDescent="0.2">
      <c r="A1611">
        <f t="shared" si="58"/>
        <v>45</v>
      </c>
      <c r="B1611">
        <v>1602</v>
      </c>
      <c r="C1611" s="1078">
        <v>2</v>
      </c>
      <c r="D1611" s="1077" t="s">
        <v>3603</v>
      </c>
      <c r="E1611" s="1077" t="s">
        <v>5252</v>
      </c>
      <c r="F1611" s="1079">
        <v>4</v>
      </c>
      <c r="G1611" s="1079">
        <v>5.07</v>
      </c>
      <c r="H1611" s="1079">
        <v>2.58</v>
      </c>
      <c r="I1611" s="1079">
        <v>7.03</v>
      </c>
      <c r="J1611" s="1079">
        <v>2.91</v>
      </c>
      <c r="K1611" s="1079">
        <v>6.23</v>
      </c>
      <c r="L1611" s="1079">
        <v>3.91</v>
      </c>
      <c r="M1611" s="1079">
        <v>9.92</v>
      </c>
      <c r="N1611" s="1079">
        <v>4.8</v>
      </c>
      <c r="O1611" s="1079">
        <v>13.29</v>
      </c>
      <c r="P1611" s="1079">
        <v>7.05</v>
      </c>
      <c r="Q1611" s="1079">
        <v>5.66</v>
      </c>
      <c r="R1611" s="1079">
        <v>2.0099999999999998</v>
      </c>
      <c r="S1611" s="1079">
        <v>8.8699999999999992</v>
      </c>
      <c r="T1611" s="1079">
        <v>2.89</v>
      </c>
      <c r="U1611" s="1079">
        <v>12.83</v>
      </c>
      <c r="V1611" s="1079">
        <v>4.3899999999999997</v>
      </c>
      <c r="W1611" s="1079"/>
      <c r="X1611" s="1079"/>
      <c r="Y1611" s="1079"/>
      <c r="Z1611" s="1079"/>
      <c r="AA1611" s="1079"/>
      <c r="AB1611" s="1079"/>
      <c r="AC1611" s="1079"/>
      <c r="AD1611" s="1080"/>
    </row>
    <row r="1612" spans="1:30" x14ac:dyDescent="0.2">
      <c r="A1612">
        <f t="shared" ref="A1612:A1675" si="59">A1611+(D1612&lt;&gt;D1611)*1</f>
        <v>45</v>
      </c>
      <c r="B1612">
        <v>1603</v>
      </c>
      <c r="C1612" s="1078">
        <v>2</v>
      </c>
      <c r="D1612" s="1077" t="s">
        <v>3603</v>
      </c>
      <c r="E1612" s="1077" t="s">
        <v>5356</v>
      </c>
      <c r="F1612" s="1079">
        <v>4</v>
      </c>
      <c r="G1612" s="1079">
        <v>5.87</v>
      </c>
      <c r="H1612" s="1079">
        <v>2.39</v>
      </c>
      <c r="I1612" s="1079">
        <v>7.9</v>
      </c>
      <c r="J1612" s="1079">
        <v>2.9</v>
      </c>
      <c r="K1612" s="1079">
        <v>7.1</v>
      </c>
      <c r="L1612" s="1079">
        <v>3.46</v>
      </c>
      <c r="M1612" s="1079">
        <v>10.4</v>
      </c>
      <c r="N1612" s="1079">
        <v>4.67</v>
      </c>
      <c r="O1612" s="1079">
        <v>16.420000000000002</v>
      </c>
      <c r="P1612" s="1079">
        <v>6.85</v>
      </c>
      <c r="Q1612" s="1079">
        <v>6.93</v>
      </c>
      <c r="R1612" s="1079">
        <v>1.99</v>
      </c>
      <c r="S1612" s="1079">
        <v>10.55</v>
      </c>
      <c r="T1612" s="1079">
        <v>2.92</v>
      </c>
      <c r="U1612" s="1079">
        <v>15.13</v>
      </c>
      <c r="V1612" s="1079">
        <v>4.12</v>
      </c>
      <c r="W1612" s="1079"/>
      <c r="X1612" s="1079"/>
      <c r="Y1612" s="1079"/>
      <c r="Z1612" s="1079"/>
      <c r="AA1612" s="1079"/>
      <c r="AB1612" s="1079"/>
      <c r="AC1612" s="1079"/>
      <c r="AD1612" s="1080"/>
    </row>
    <row r="1613" spans="1:30" x14ac:dyDescent="0.2">
      <c r="A1613">
        <f t="shared" si="59"/>
        <v>45</v>
      </c>
      <c r="B1613">
        <v>1604</v>
      </c>
      <c r="C1613" s="1078">
        <v>2</v>
      </c>
      <c r="D1613" s="1077" t="s">
        <v>3603</v>
      </c>
      <c r="E1613" s="1077" t="s">
        <v>4623</v>
      </c>
      <c r="F1613" s="1079">
        <v>4</v>
      </c>
      <c r="G1613" s="1079">
        <v>3.02</v>
      </c>
      <c r="H1613" s="1079">
        <v>2.33</v>
      </c>
      <c r="I1613" s="1079">
        <v>3.81</v>
      </c>
      <c r="J1613" s="1079">
        <v>2.91</v>
      </c>
      <c r="K1613" s="1079">
        <v>4.08</v>
      </c>
      <c r="L1613" s="1079">
        <v>3.57</v>
      </c>
      <c r="M1613" s="1079">
        <v>4.18</v>
      </c>
      <c r="N1613" s="1079">
        <v>4.5599999999999996</v>
      </c>
      <c r="O1613" s="1079">
        <v>6.47</v>
      </c>
      <c r="P1613" s="1079">
        <v>6.48</v>
      </c>
      <c r="Q1613" s="1079">
        <v>3.79</v>
      </c>
      <c r="R1613" s="1079">
        <v>1.95</v>
      </c>
      <c r="S1613" s="1079">
        <v>4.97</v>
      </c>
      <c r="T1613" s="1079">
        <v>2.64</v>
      </c>
      <c r="U1613" s="1079">
        <v>6.53</v>
      </c>
      <c r="V1613" s="1079">
        <v>3.54</v>
      </c>
      <c r="W1613" s="1079"/>
      <c r="X1613" s="1079"/>
      <c r="Y1613" s="1079"/>
      <c r="Z1613" s="1079"/>
      <c r="AA1613" s="1079"/>
      <c r="AB1613" s="1079"/>
      <c r="AC1613" s="1079"/>
      <c r="AD1613" s="1080"/>
    </row>
    <row r="1614" spans="1:30" x14ac:dyDescent="0.2">
      <c r="A1614">
        <f t="shared" si="59"/>
        <v>45</v>
      </c>
      <c r="B1614">
        <v>1605</v>
      </c>
      <c r="C1614" s="1078">
        <v>2</v>
      </c>
      <c r="D1614" s="1077" t="s">
        <v>3603</v>
      </c>
      <c r="E1614" s="1077" t="s">
        <v>4624</v>
      </c>
      <c r="F1614" s="1079">
        <v>4</v>
      </c>
      <c r="G1614" s="1079">
        <v>4.3499999999999996</v>
      </c>
      <c r="H1614" s="1079">
        <v>2.23</v>
      </c>
      <c r="I1614" s="1079">
        <v>5.53</v>
      </c>
      <c r="J1614" s="1079">
        <v>2.82</v>
      </c>
      <c r="K1614" s="1079">
        <v>5.54</v>
      </c>
      <c r="L1614" s="1079">
        <v>3.67</v>
      </c>
      <c r="M1614" s="1079">
        <v>6.3</v>
      </c>
      <c r="N1614" s="1079">
        <v>4.5999999999999996</v>
      </c>
      <c r="O1614" s="1079">
        <v>8.11</v>
      </c>
      <c r="P1614" s="1079">
        <v>6.23</v>
      </c>
      <c r="Q1614" s="1079">
        <v>5.56</v>
      </c>
      <c r="R1614" s="1079">
        <v>1.96</v>
      </c>
      <c r="S1614" s="1079">
        <v>6.16</v>
      </c>
      <c r="T1614" s="1079">
        <v>2.72</v>
      </c>
      <c r="U1614" s="1079">
        <v>7.57</v>
      </c>
      <c r="V1614" s="1079">
        <v>3.55</v>
      </c>
      <c r="W1614" s="1079"/>
      <c r="X1614" s="1079"/>
      <c r="Y1614" s="1079"/>
      <c r="Z1614" s="1079"/>
      <c r="AA1614" s="1079"/>
      <c r="AB1614" s="1079"/>
      <c r="AC1614" s="1079"/>
      <c r="AD1614" s="1080"/>
    </row>
    <row r="1615" spans="1:30" x14ac:dyDescent="0.2">
      <c r="A1615">
        <f t="shared" si="59"/>
        <v>45</v>
      </c>
      <c r="B1615">
        <v>1606</v>
      </c>
      <c r="C1615" s="1078">
        <v>2</v>
      </c>
      <c r="D1615" s="1077" t="s">
        <v>3603</v>
      </c>
      <c r="E1615" s="1077" t="s">
        <v>4625</v>
      </c>
      <c r="F1615" s="1079">
        <v>4</v>
      </c>
      <c r="G1615" s="1079">
        <v>5.23</v>
      </c>
      <c r="H1615" s="1079">
        <v>2.36</v>
      </c>
      <c r="I1615" s="1079">
        <v>6.67</v>
      </c>
      <c r="J1615" s="1079">
        <v>2.89</v>
      </c>
      <c r="K1615" s="1079">
        <v>6.99</v>
      </c>
      <c r="L1615" s="1079">
        <v>3.96</v>
      </c>
      <c r="M1615" s="1079">
        <v>7.54</v>
      </c>
      <c r="N1615" s="1079">
        <v>4.71</v>
      </c>
      <c r="O1615" s="1079">
        <v>10.45</v>
      </c>
      <c r="P1615" s="1079">
        <v>6.53</v>
      </c>
      <c r="Q1615" s="1079">
        <v>6.64</v>
      </c>
      <c r="R1615" s="1079">
        <v>2.12</v>
      </c>
      <c r="S1615" s="1079">
        <v>6.82</v>
      </c>
      <c r="T1615" s="1079">
        <v>2.75</v>
      </c>
      <c r="U1615" s="1079">
        <v>9.7799999999999994</v>
      </c>
      <c r="V1615" s="1079">
        <v>3.66</v>
      </c>
      <c r="W1615" s="1079"/>
      <c r="X1615" s="1079"/>
      <c r="Y1615" s="1079"/>
      <c r="Z1615" s="1079"/>
      <c r="AA1615" s="1079"/>
      <c r="AB1615" s="1079"/>
      <c r="AC1615" s="1079"/>
      <c r="AD1615" s="1080"/>
    </row>
    <row r="1616" spans="1:30" x14ac:dyDescent="0.2">
      <c r="A1616">
        <f t="shared" si="59"/>
        <v>45</v>
      </c>
      <c r="B1616">
        <v>1607</v>
      </c>
      <c r="C1616" s="1078">
        <v>2</v>
      </c>
      <c r="D1616" s="1077" t="s">
        <v>3603</v>
      </c>
      <c r="E1616" s="1077" t="s">
        <v>5253</v>
      </c>
      <c r="F1616" s="1079">
        <v>4</v>
      </c>
      <c r="G1616" s="1079">
        <v>6.26</v>
      </c>
      <c r="H1616" s="1079">
        <v>2.48</v>
      </c>
      <c r="I1616" s="1079">
        <v>8.35</v>
      </c>
      <c r="J1616" s="1079">
        <v>3.23</v>
      </c>
      <c r="K1616" s="1079">
        <v>9.5</v>
      </c>
      <c r="L1616" s="1079">
        <v>4.32</v>
      </c>
      <c r="M1616" s="1079">
        <v>11.6</v>
      </c>
      <c r="N1616" s="1079">
        <v>5.16</v>
      </c>
      <c r="O1616" s="1079">
        <v>15.04</v>
      </c>
      <c r="P1616" s="1079">
        <v>7.12</v>
      </c>
      <c r="Q1616" s="1079">
        <v>9.1</v>
      </c>
      <c r="R1616" s="1079">
        <v>2.21</v>
      </c>
      <c r="S1616" s="1079">
        <v>12.17</v>
      </c>
      <c r="T1616" s="1079">
        <v>7.95</v>
      </c>
      <c r="U1616" s="1079">
        <v>14.67</v>
      </c>
      <c r="V1616" s="1079">
        <v>3.91</v>
      </c>
      <c r="W1616" s="1079"/>
      <c r="X1616" s="1079"/>
      <c r="Y1616" s="1079"/>
      <c r="Z1616" s="1079"/>
      <c r="AA1616" s="1079"/>
      <c r="AB1616" s="1079"/>
      <c r="AC1616" s="1079"/>
      <c r="AD1616" s="1080"/>
    </row>
    <row r="1617" spans="1:30" x14ac:dyDescent="0.2">
      <c r="A1617">
        <f t="shared" si="59"/>
        <v>45</v>
      </c>
      <c r="B1617">
        <v>1608</v>
      </c>
      <c r="C1617" s="1078">
        <v>2</v>
      </c>
      <c r="D1617" s="1077" t="s">
        <v>3603</v>
      </c>
      <c r="E1617" s="1077" t="s">
        <v>4626</v>
      </c>
      <c r="F1617" s="1079">
        <v>4</v>
      </c>
      <c r="G1617" s="1079">
        <v>7.61</v>
      </c>
      <c r="H1617" s="1079">
        <v>2.4900000000000002</v>
      </c>
      <c r="I1617" s="1079">
        <v>10.09</v>
      </c>
      <c r="J1617" s="1079">
        <v>3.18</v>
      </c>
      <c r="K1617" s="1079">
        <v>10.09</v>
      </c>
      <c r="L1617" s="1079">
        <v>4.0999999999999996</v>
      </c>
      <c r="M1617" s="1079">
        <v>12.6</v>
      </c>
      <c r="N1617" s="1079">
        <v>5.01</v>
      </c>
      <c r="O1617" s="1079">
        <v>16.64</v>
      </c>
      <c r="P1617" s="1079">
        <v>7.22</v>
      </c>
      <c r="Q1617" s="1079">
        <v>10.08</v>
      </c>
      <c r="R1617" s="1079">
        <v>2.2200000000000002</v>
      </c>
      <c r="S1617" s="1079">
        <v>12.2</v>
      </c>
      <c r="T1617" s="1079">
        <v>2.96</v>
      </c>
      <c r="U1617" s="1079">
        <v>14.56</v>
      </c>
      <c r="V1617" s="1079">
        <v>3.99</v>
      </c>
      <c r="W1617" s="1079"/>
      <c r="X1617" s="1079"/>
      <c r="Y1617" s="1079"/>
      <c r="Z1617" s="1079"/>
      <c r="AA1617" s="1079"/>
      <c r="AB1617" s="1079"/>
      <c r="AC1617" s="1079"/>
      <c r="AD1617" s="1080"/>
    </row>
    <row r="1618" spans="1:30" x14ac:dyDescent="0.2">
      <c r="A1618">
        <f t="shared" si="59"/>
        <v>45</v>
      </c>
      <c r="B1618">
        <v>1609</v>
      </c>
      <c r="C1618" s="1078">
        <v>2</v>
      </c>
      <c r="D1618" s="1077" t="s">
        <v>3603</v>
      </c>
      <c r="E1618" s="1077" t="s">
        <v>4627</v>
      </c>
      <c r="F1618" s="1079">
        <v>4</v>
      </c>
      <c r="G1618" s="1079">
        <v>8.35</v>
      </c>
      <c r="H1618" s="1079">
        <v>2.4300000000000002</v>
      </c>
      <c r="I1618" s="1079">
        <v>10.74</v>
      </c>
      <c r="J1618" s="1079">
        <v>3</v>
      </c>
      <c r="K1618" s="1079">
        <v>10.64</v>
      </c>
      <c r="L1618" s="1079">
        <v>3.98</v>
      </c>
      <c r="M1618" s="1079">
        <v>13.7</v>
      </c>
      <c r="N1618" s="1079">
        <v>4.87</v>
      </c>
      <c r="O1618" s="1079">
        <v>17.53</v>
      </c>
      <c r="P1618" s="1079">
        <v>7.02</v>
      </c>
      <c r="Q1618" s="1079">
        <v>10.68</v>
      </c>
      <c r="R1618" s="1079">
        <v>2.21</v>
      </c>
      <c r="S1618" s="1079">
        <v>10.77</v>
      </c>
      <c r="T1618" s="1079">
        <v>2.86</v>
      </c>
      <c r="U1618" s="1079">
        <v>15.51</v>
      </c>
      <c r="V1618" s="1079">
        <v>3.98</v>
      </c>
      <c r="W1618" s="1079"/>
      <c r="X1618" s="1079"/>
      <c r="Y1618" s="1079"/>
      <c r="Z1618" s="1079"/>
      <c r="AA1618" s="1079"/>
      <c r="AB1618" s="1079"/>
      <c r="AC1618" s="1079"/>
      <c r="AD1618" s="1080"/>
    </row>
    <row r="1619" spans="1:30" x14ac:dyDescent="0.2">
      <c r="A1619">
        <f t="shared" si="59"/>
        <v>45</v>
      </c>
      <c r="B1619">
        <v>1610</v>
      </c>
      <c r="C1619" s="1078">
        <v>2</v>
      </c>
      <c r="D1619" s="1077" t="s">
        <v>3603</v>
      </c>
      <c r="E1619" s="1077" t="s">
        <v>4628</v>
      </c>
      <c r="F1619" s="1079">
        <v>4</v>
      </c>
      <c r="G1619" s="1079">
        <v>8.7799999999999994</v>
      </c>
      <c r="H1619" s="1079">
        <v>2.37</v>
      </c>
      <c r="I1619" s="1079">
        <v>11.6</v>
      </c>
      <c r="J1619" s="1079">
        <v>3</v>
      </c>
      <c r="K1619" s="1079">
        <v>11.18</v>
      </c>
      <c r="L1619" s="1079">
        <v>3.94</v>
      </c>
      <c r="M1619" s="1079">
        <v>14.7</v>
      </c>
      <c r="N1619" s="1079">
        <v>4.95</v>
      </c>
      <c r="O1619" s="1079">
        <v>18.38</v>
      </c>
      <c r="P1619" s="1079">
        <v>6.71</v>
      </c>
      <c r="Q1619" s="1079">
        <v>10.7</v>
      </c>
      <c r="R1619" s="1079">
        <v>2.2200000000000002</v>
      </c>
      <c r="S1619" s="1079">
        <v>11.16</v>
      </c>
      <c r="T1619" s="1079">
        <v>3</v>
      </c>
      <c r="U1619" s="1079">
        <v>16.440000000000001</v>
      </c>
      <c r="V1619" s="1079">
        <v>3.96</v>
      </c>
      <c r="W1619" s="1079"/>
      <c r="X1619" s="1079"/>
      <c r="Y1619" s="1079"/>
      <c r="Z1619" s="1079"/>
      <c r="AA1619" s="1079"/>
      <c r="AB1619" s="1079"/>
      <c r="AC1619" s="1079"/>
      <c r="AD1619" s="1080"/>
    </row>
    <row r="1620" spans="1:30" x14ac:dyDescent="0.2">
      <c r="A1620">
        <f t="shared" si="59"/>
        <v>45</v>
      </c>
      <c r="B1620">
        <v>1611</v>
      </c>
      <c r="C1620" s="1078">
        <v>2</v>
      </c>
      <c r="D1620" s="1077" t="s">
        <v>3603</v>
      </c>
      <c r="E1620" s="1077" t="s">
        <v>5254</v>
      </c>
      <c r="F1620" s="1079">
        <v>4</v>
      </c>
      <c r="G1620" s="1079">
        <v>4.24</v>
      </c>
      <c r="H1620" s="1079">
        <v>2.65</v>
      </c>
      <c r="I1620" s="1079">
        <v>5.5</v>
      </c>
      <c r="J1620" s="1079">
        <v>3.05</v>
      </c>
      <c r="K1620" s="1079">
        <v>5</v>
      </c>
      <c r="L1620" s="1079">
        <v>4.0599999999999996</v>
      </c>
      <c r="M1620" s="1079">
        <v>7.5</v>
      </c>
      <c r="N1620" s="1079">
        <v>5.12</v>
      </c>
      <c r="O1620" s="1079">
        <v>9.68</v>
      </c>
      <c r="P1620" s="1079">
        <v>6.92</v>
      </c>
      <c r="Q1620" s="1079">
        <v>4.42</v>
      </c>
      <c r="R1620" s="1079">
        <v>1.92</v>
      </c>
      <c r="S1620" s="1079">
        <v>6.47</v>
      </c>
      <c r="T1620" s="1079">
        <v>2.78</v>
      </c>
      <c r="U1620" s="1079">
        <v>9.84</v>
      </c>
      <c r="V1620" s="1079">
        <v>4.51</v>
      </c>
      <c r="W1620" s="1079"/>
      <c r="X1620" s="1079"/>
      <c r="Y1620" s="1079"/>
      <c r="Z1620" s="1079"/>
      <c r="AA1620" s="1079"/>
      <c r="AB1620" s="1079"/>
      <c r="AC1620" s="1079"/>
      <c r="AD1620" s="1080"/>
    </row>
    <row r="1621" spans="1:30" x14ac:dyDescent="0.2">
      <c r="A1621">
        <f t="shared" si="59"/>
        <v>45</v>
      </c>
      <c r="B1621">
        <v>1612</v>
      </c>
      <c r="C1621" s="1078">
        <v>2</v>
      </c>
      <c r="D1621" s="1077" t="s">
        <v>3603</v>
      </c>
      <c r="E1621" s="1077" t="s">
        <v>5255</v>
      </c>
      <c r="F1621" s="1079">
        <v>4</v>
      </c>
      <c r="G1621" s="1079">
        <v>5.07</v>
      </c>
      <c r="H1621" s="1079">
        <v>2.58</v>
      </c>
      <c r="I1621" s="1079">
        <v>7.03</v>
      </c>
      <c r="J1621" s="1079">
        <v>2.91</v>
      </c>
      <c r="K1621" s="1079">
        <v>6.23</v>
      </c>
      <c r="L1621" s="1079">
        <v>3.91</v>
      </c>
      <c r="M1621" s="1079">
        <v>9.92</v>
      </c>
      <c r="N1621" s="1079">
        <v>4.8</v>
      </c>
      <c r="O1621" s="1079">
        <v>13.29</v>
      </c>
      <c r="P1621" s="1079">
        <v>7.05</v>
      </c>
      <c r="Q1621" s="1079">
        <v>5.66</v>
      </c>
      <c r="R1621" s="1079">
        <v>2.0099999999999998</v>
      </c>
      <c r="S1621" s="1079">
        <v>8.8699999999999992</v>
      </c>
      <c r="T1621" s="1079">
        <v>2.89</v>
      </c>
      <c r="U1621" s="1079">
        <v>12.83</v>
      </c>
      <c r="V1621" s="1079">
        <v>4.3899999999999997</v>
      </c>
      <c r="W1621" s="1079"/>
      <c r="X1621" s="1079"/>
      <c r="Y1621" s="1079"/>
      <c r="Z1621" s="1079"/>
      <c r="AA1621" s="1079"/>
      <c r="AB1621" s="1079"/>
      <c r="AC1621" s="1079"/>
      <c r="AD1621" s="1080"/>
    </row>
    <row r="1622" spans="1:30" x14ac:dyDescent="0.2">
      <c r="A1622">
        <f t="shared" si="59"/>
        <v>45</v>
      </c>
      <c r="B1622">
        <v>1613</v>
      </c>
      <c r="C1622" s="1078">
        <v>2</v>
      </c>
      <c r="D1622" s="1077" t="s">
        <v>3603</v>
      </c>
      <c r="E1622" s="1077" t="s">
        <v>5357</v>
      </c>
      <c r="F1622" s="1079">
        <v>4</v>
      </c>
      <c r="G1622" s="1079">
        <v>5.87</v>
      </c>
      <c r="H1622" s="1079">
        <v>2.39</v>
      </c>
      <c r="I1622" s="1079">
        <v>7.9</v>
      </c>
      <c r="J1622" s="1079">
        <v>2.9</v>
      </c>
      <c r="K1622" s="1079">
        <v>7.1</v>
      </c>
      <c r="L1622" s="1079">
        <v>3.46</v>
      </c>
      <c r="M1622" s="1079">
        <v>10.4</v>
      </c>
      <c r="N1622" s="1079">
        <v>4.67</v>
      </c>
      <c r="O1622" s="1079">
        <v>16.420000000000002</v>
      </c>
      <c r="P1622" s="1079">
        <v>6.85</v>
      </c>
      <c r="Q1622" s="1079">
        <v>6.93</v>
      </c>
      <c r="R1622" s="1079">
        <v>1.99</v>
      </c>
      <c r="S1622" s="1079">
        <v>10.55</v>
      </c>
      <c r="T1622" s="1079">
        <v>2.92</v>
      </c>
      <c r="U1622" s="1079">
        <v>15.13</v>
      </c>
      <c r="V1622" s="1079">
        <v>4.12</v>
      </c>
      <c r="W1622" s="1079"/>
      <c r="X1622" s="1079"/>
      <c r="Y1622" s="1079"/>
      <c r="Z1622" s="1079"/>
      <c r="AA1622" s="1079"/>
      <c r="AB1622" s="1079"/>
      <c r="AC1622" s="1079"/>
      <c r="AD1622" s="1080"/>
    </row>
    <row r="1623" spans="1:30" x14ac:dyDescent="0.2">
      <c r="A1623">
        <f t="shared" si="59"/>
        <v>45</v>
      </c>
      <c r="B1623">
        <v>1614</v>
      </c>
      <c r="C1623" s="1078">
        <v>2</v>
      </c>
      <c r="D1623" s="1077" t="s">
        <v>3603</v>
      </c>
      <c r="E1623" s="1077" t="s">
        <v>4629</v>
      </c>
      <c r="F1623" s="1079">
        <v>4</v>
      </c>
      <c r="G1623" s="1079">
        <v>3.02</v>
      </c>
      <c r="H1623" s="1079">
        <v>2.33</v>
      </c>
      <c r="I1623" s="1079">
        <v>3.81</v>
      </c>
      <c r="J1623" s="1079">
        <v>2.91</v>
      </c>
      <c r="K1623" s="1079">
        <v>4.08</v>
      </c>
      <c r="L1623" s="1079">
        <v>3.57</v>
      </c>
      <c r="M1623" s="1079">
        <v>4.18</v>
      </c>
      <c r="N1623" s="1079">
        <v>4.5599999999999996</v>
      </c>
      <c r="O1623" s="1079">
        <v>6.47</v>
      </c>
      <c r="P1623" s="1079">
        <v>6.48</v>
      </c>
      <c r="Q1623" s="1079">
        <v>3.79</v>
      </c>
      <c r="R1623" s="1079">
        <v>1.95</v>
      </c>
      <c r="S1623" s="1079">
        <v>4.97</v>
      </c>
      <c r="T1623" s="1079">
        <v>2.64</v>
      </c>
      <c r="U1623" s="1079">
        <v>6.53</v>
      </c>
      <c r="V1623" s="1079">
        <v>3.54</v>
      </c>
      <c r="W1623" s="1079"/>
      <c r="X1623" s="1079"/>
      <c r="Y1623" s="1079"/>
      <c r="Z1623" s="1079"/>
      <c r="AA1623" s="1079"/>
      <c r="AB1623" s="1079"/>
      <c r="AC1623" s="1079"/>
      <c r="AD1623" s="1080"/>
    </row>
    <row r="1624" spans="1:30" x14ac:dyDescent="0.2">
      <c r="A1624">
        <f t="shared" si="59"/>
        <v>45</v>
      </c>
      <c r="B1624">
        <v>1615</v>
      </c>
      <c r="C1624" s="1078">
        <v>2</v>
      </c>
      <c r="D1624" s="1077" t="s">
        <v>3603</v>
      </c>
      <c r="E1624" s="1077" t="s">
        <v>4630</v>
      </c>
      <c r="F1624" s="1079">
        <v>4</v>
      </c>
      <c r="G1624" s="1079">
        <v>4.3499999999999996</v>
      </c>
      <c r="H1624" s="1079">
        <v>2.23</v>
      </c>
      <c r="I1624" s="1079">
        <v>5.53</v>
      </c>
      <c r="J1624" s="1079">
        <v>2.82</v>
      </c>
      <c r="K1624" s="1079">
        <v>5.54</v>
      </c>
      <c r="L1624" s="1079">
        <v>3.67</v>
      </c>
      <c r="M1624" s="1079">
        <v>6.3</v>
      </c>
      <c r="N1624" s="1079">
        <v>4.5999999999999996</v>
      </c>
      <c r="O1624" s="1079">
        <v>8.11</v>
      </c>
      <c r="P1624" s="1079">
        <v>6.23</v>
      </c>
      <c r="Q1624" s="1079">
        <v>5.56</v>
      </c>
      <c r="R1624" s="1079">
        <v>1.96</v>
      </c>
      <c r="S1624" s="1079">
        <v>6.16</v>
      </c>
      <c r="T1624" s="1079">
        <v>2.72</v>
      </c>
      <c r="U1624" s="1079">
        <v>7.57</v>
      </c>
      <c r="V1624" s="1079">
        <v>3.55</v>
      </c>
      <c r="W1624" s="1079"/>
      <c r="X1624" s="1079"/>
      <c r="Y1624" s="1079"/>
      <c r="Z1624" s="1079"/>
      <c r="AA1624" s="1079"/>
      <c r="AB1624" s="1079"/>
      <c r="AC1624" s="1079"/>
      <c r="AD1624" s="1080"/>
    </row>
    <row r="1625" spans="1:30" x14ac:dyDescent="0.2">
      <c r="A1625">
        <f t="shared" si="59"/>
        <v>45</v>
      </c>
      <c r="B1625">
        <v>1616</v>
      </c>
      <c r="C1625" s="1078">
        <v>2</v>
      </c>
      <c r="D1625" s="1077" t="s">
        <v>3603</v>
      </c>
      <c r="E1625" s="1077" t="s">
        <v>4631</v>
      </c>
      <c r="F1625" s="1079">
        <v>4</v>
      </c>
      <c r="G1625" s="1079">
        <v>5.23</v>
      </c>
      <c r="H1625" s="1079">
        <v>2.36</v>
      </c>
      <c r="I1625" s="1079">
        <v>6.67</v>
      </c>
      <c r="J1625" s="1079">
        <v>2.89</v>
      </c>
      <c r="K1625" s="1079">
        <v>6.99</v>
      </c>
      <c r="L1625" s="1079">
        <v>3.96</v>
      </c>
      <c r="M1625" s="1079">
        <v>7.54</v>
      </c>
      <c r="N1625" s="1079">
        <v>4.71</v>
      </c>
      <c r="O1625" s="1079">
        <v>10.45</v>
      </c>
      <c r="P1625" s="1079">
        <v>6.53</v>
      </c>
      <c r="Q1625" s="1079">
        <v>6.64</v>
      </c>
      <c r="R1625" s="1079">
        <v>2.12</v>
      </c>
      <c r="S1625" s="1079">
        <v>6.82</v>
      </c>
      <c r="T1625" s="1079">
        <v>2.75</v>
      </c>
      <c r="U1625" s="1079">
        <v>9.7799999999999994</v>
      </c>
      <c r="V1625" s="1079">
        <v>3.66</v>
      </c>
      <c r="W1625" s="1079"/>
      <c r="X1625" s="1079"/>
      <c r="Y1625" s="1079"/>
      <c r="Z1625" s="1079"/>
      <c r="AA1625" s="1079"/>
      <c r="AB1625" s="1079"/>
      <c r="AC1625" s="1079"/>
      <c r="AD1625" s="1080"/>
    </row>
    <row r="1626" spans="1:30" x14ac:dyDescent="0.2">
      <c r="A1626">
        <f t="shared" si="59"/>
        <v>45</v>
      </c>
      <c r="B1626">
        <v>1617</v>
      </c>
      <c r="C1626" s="1078">
        <v>2</v>
      </c>
      <c r="D1626" s="1077" t="s">
        <v>3603</v>
      </c>
      <c r="E1626" s="1077" t="s">
        <v>5256</v>
      </c>
      <c r="F1626" s="1079">
        <v>4</v>
      </c>
      <c r="G1626" s="1079">
        <v>6.26</v>
      </c>
      <c r="H1626" s="1079">
        <v>2.48</v>
      </c>
      <c r="I1626" s="1079">
        <v>8.35</v>
      </c>
      <c r="J1626" s="1079">
        <v>3.23</v>
      </c>
      <c r="K1626" s="1079">
        <v>9.5</v>
      </c>
      <c r="L1626" s="1079">
        <v>4.32</v>
      </c>
      <c r="M1626" s="1079">
        <v>11.6</v>
      </c>
      <c r="N1626" s="1079">
        <v>5.16</v>
      </c>
      <c r="O1626" s="1079">
        <v>15.04</v>
      </c>
      <c r="P1626" s="1079">
        <v>7.12</v>
      </c>
      <c r="Q1626" s="1079">
        <v>9.1</v>
      </c>
      <c r="R1626" s="1079">
        <v>2.21</v>
      </c>
      <c r="S1626" s="1079">
        <v>12.17</v>
      </c>
      <c r="T1626" s="1079">
        <v>7.95</v>
      </c>
      <c r="U1626" s="1079">
        <v>14.67</v>
      </c>
      <c r="V1626" s="1079">
        <v>3.91</v>
      </c>
      <c r="W1626" s="1079"/>
      <c r="X1626" s="1079"/>
      <c r="Y1626" s="1079"/>
      <c r="Z1626" s="1079"/>
      <c r="AA1626" s="1079"/>
      <c r="AB1626" s="1079"/>
      <c r="AC1626" s="1079"/>
      <c r="AD1626" s="1080"/>
    </row>
    <row r="1627" spans="1:30" x14ac:dyDescent="0.2">
      <c r="A1627">
        <f t="shared" si="59"/>
        <v>45</v>
      </c>
      <c r="B1627">
        <v>1618</v>
      </c>
      <c r="C1627" s="1078">
        <v>2</v>
      </c>
      <c r="D1627" s="1077" t="s">
        <v>3603</v>
      </c>
      <c r="E1627" s="1077" t="s">
        <v>4632</v>
      </c>
      <c r="F1627" s="1079">
        <v>4</v>
      </c>
      <c r="G1627" s="1079">
        <v>7.61</v>
      </c>
      <c r="H1627" s="1079">
        <v>2.4900000000000002</v>
      </c>
      <c r="I1627" s="1079">
        <v>10.09</v>
      </c>
      <c r="J1627" s="1079">
        <v>3.18</v>
      </c>
      <c r="K1627" s="1079">
        <v>10.09</v>
      </c>
      <c r="L1627" s="1079">
        <v>4.0999999999999996</v>
      </c>
      <c r="M1627" s="1079">
        <v>12.6</v>
      </c>
      <c r="N1627" s="1079">
        <v>5.01</v>
      </c>
      <c r="O1627" s="1079">
        <v>16.64</v>
      </c>
      <c r="P1627" s="1079">
        <v>7.22</v>
      </c>
      <c r="Q1627" s="1079">
        <v>10.08</v>
      </c>
      <c r="R1627" s="1079">
        <v>2.2200000000000002</v>
      </c>
      <c r="S1627" s="1079">
        <v>12.2</v>
      </c>
      <c r="T1627" s="1079">
        <v>2.96</v>
      </c>
      <c r="U1627" s="1079">
        <v>14.56</v>
      </c>
      <c r="V1627" s="1079">
        <v>3.99</v>
      </c>
      <c r="W1627" s="1079"/>
      <c r="X1627" s="1079"/>
      <c r="Y1627" s="1079"/>
      <c r="Z1627" s="1079"/>
      <c r="AA1627" s="1079"/>
      <c r="AB1627" s="1079"/>
      <c r="AC1627" s="1079"/>
      <c r="AD1627" s="1080"/>
    </row>
    <row r="1628" spans="1:30" x14ac:dyDescent="0.2">
      <c r="A1628">
        <f t="shared" si="59"/>
        <v>45</v>
      </c>
      <c r="B1628">
        <v>1619</v>
      </c>
      <c r="C1628" s="1078">
        <v>2</v>
      </c>
      <c r="D1628" s="1077" t="s">
        <v>3603</v>
      </c>
      <c r="E1628" s="1077" t="s">
        <v>4633</v>
      </c>
      <c r="F1628" s="1079">
        <v>4</v>
      </c>
      <c r="G1628" s="1079">
        <v>8.35</v>
      </c>
      <c r="H1628" s="1079">
        <v>2.4300000000000002</v>
      </c>
      <c r="I1628" s="1079">
        <v>10.74</v>
      </c>
      <c r="J1628" s="1079">
        <v>3</v>
      </c>
      <c r="K1628" s="1079">
        <v>10.64</v>
      </c>
      <c r="L1628" s="1079">
        <v>3.98</v>
      </c>
      <c r="M1628" s="1079">
        <v>13.7</v>
      </c>
      <c r="N1628" s="1079">
        <v>4.87</v>
      </c>
      <c r="O1628" s="1079">
        <v>17.53</v>
      </c>
      <c r="P1628" s="1079">
        <v>7.02</v>
      </c>
      <c r="Q1628" s="1079">
        <v>10.68</v>
      </c>
      <c r="R1628" s="1079">
        <v>2.21</v>
      </c>
      <c r="S1628" s="1079">
        <v>10.77</v>
      </c>
      <c r="T1628" s="1079">
        <v>2.86</v>
      </c>
      <c r="U1628" s="1079">
        <v>15.51</v>
      </c>
      <c r="V1628" s="1079">
        <v>3.98</v>
      </c>
      <c r="W1628" s="1079"/>
      <c r="X1628" s="1079"/>
      <c r="Y1628" s="1079"/>
      <c r="Z1628" s="1079"/>
      <c r="AA1628" s="1079"/>
      <c r="AB1628" s="1079"/>
      <c r="AC1628" s="1079"/>
      <c r="AD1628" s="1080"/>
    </row>
    <row r="1629" spans="1:30" x14ac:dyDescent="0.2">
      <c r="A1629">
        <f t="shared" si="59"/>
        <v>45</v>
      </c>
      <c r="B1629">
        <v>1620</v>
      </c>
      <c r="C1629" s="1078">
        <v>2</v>
      </c>
      <c r="D1629" s="1077" t="s">
        <v>3603</v>
      </c>
      <c r="E1629" s="1077" t="s">
        <v>4634</v>
      </c>
      <c r="F1629" s="1079">
        <v>4</v>
      </c>
      <c r="G1629" s="1079">
        <v>8.7799999999999994</v>
      </c>
      <c r="H1629" s="1079">
        <v>2.37</v>
      </c>
      <c r="I1629" s="1079">
        <v>11.6</v>
      </c>
      <c r="J1629" s="1079">
        <v>3</v>
      </c>
      <c r="K1629" s="1079">
        <v>11.18</v>
      </c>
      <c r="L1629" s="1079">
        <v>3.94</v>
      </c>
      <c r="M1629" s="1079">
        <v>14.7</v>
      </c>
      <c r="N1629" s="1079">
        <v>4.95</v>
      </c>
      <c r="O1629" s="1079">
        <v>18.38</v>
      </c>
      <c r="P1629" s="1079">
        <v>6.71</v>
      </c>
      <c r="Q1629" s="1079">
        <v>10.7</v>
      </c>
      <c r="R1629" s="1079">
        <v>2.2200000000000002</v>
      </c>
      <c r="S1629" s="1079">
        <v>11.16</v>
      </c>
      <c r="T1629" s="1079">
        <v>3</v>
      </c>
      <c r="U1629" s="1079">
        <v>16.440000000000001</v>
      </c>
      <c r="V1629" s="1079">
        <v>3.96</v>
      </c>
      <c r="W1629" s="1079"/>
      <c r="X1629" s="1079"/>
      <c r="Y1629" s="1079"/>
      <c r="Z1629" s="1079"/>
      <c r="AA1629" s="1079"/>
      <c r="AB1629" s="1079"/>
      <c r="AC1629" s="1079"/>
      <c r="AD1629" s="1080"/>
    </row>
    <row r="1630" spans="1:30" x14ac:dyDescent="0.2">
      <c r="A1630">
        <f t="shared" si="59"/>
        <v>45</v>
      </c>
      <c r="B1630">
        <v>1621</v>
      </c>
      <c r="C1630" s="1078">
        <v>2</v>
      </c>
      <c r="D1630" s="1077" t="s">
        <v>3603</v>
      </c>
      <c r="E1630" s="1077" t="s">
        <v>5358</v>
      </c>
      <c r="F1630" s="1079">
        <v>4</v>
      </c>
      <c r="G1630" s="1079">
        <v>3.02</v>
      </c>
      <c r="H1630" s="1079">
        <v>2.56</v>
      </c>
      <c r="I1630" s="1079">
        <v>3.83</v>
      </c>
      <c r="J1630" s="1079">
        <v>3.2</v>
      </c>
      <c r="K1630" s="1079">
        <v>4.46</v>
      </c>
      <c r="L1630" s="1079">
        <v>4</v>
      </c>
      <c r="M1630" s="1079">
        <v>4</v>
      </c>
      <c r="N1630" s="1079">
        <v>5.0999999999999996</v>
      </c>
      <c r="O1630" s="1079">
        <v>8.2799999999999994</v>
      </c>
      <c r="P1630" s="1079">
        <v>8.17</v>
      </c>
      <c r="Q1630" s="1079">
        <v>3.52</v>
      </c>
      <c r="R1630" s="1079">
        <v>2.23</v>
      </c>
      <c r="S1630" s="1079">
        <v>5.36</v>
      </c>
      <c r="T1630" s="1079">
        <v>3.13</v>
      </c>
      <c r="U1630" s="1079">
        <v>7.89</v>
      </c>
      <c r="V1630" s="1079">
        <v>4.6399999999999997</v>
      </c>
      <c r="W1630" s="1079"/>
      <c r="X1630" s="1079"/>
      <c r="Y1630" s="1079"/>
      <c r="Z1630" s="1079"/>
      <c r="AA1630" s="1079"/>
      <c r="AB1630" s="1079"/>
      <c r="AC1630" s="1079"/>
      <c r="AD1630" s="1080"/>
    </row>
    <row r="1631" spans="1:30" x14ac:dyDescent="0.2">
      <c r="A1631">
        <f t="shared" si="59"/>
        <v>45</v>
      </c>
      <c r="B1631">
        <v>1622</v>
      </c>
      <c r="C1631" s="1078">
        <v>2</v>
      </c>
      <c r="D1631" s="1077" t="s">
        <v>3603</v>
      </c>
      <c r="E1631" s="1077" t="s">
        <v>5359</v>
      </c>
      <c r="F1631" s="1079">
        <v>4</v>
      </c>
      <c r="G1631" s="1079">
        <v>4.4000000000000004</v>
      </c>
      <c r="H1631" s="1079">
        <v>2.44</v>
      </c>
      <c r="I1631" s="1079">
        <v>5.6</v>
      </c>
      <c r="J1631" s="1079">
        <v>3</v>
      </c>
      <c r="K1631" s="1079">
        <v>5.97</v>
      </c>
      <c r="L1631" s="1079">
        <v>4</v>
      </c>
      <c r="M1631" s="1079">
        <v>6</v>
      </c>
      <c r="N1631" s="1079">
        <v>5.0999999999999996</v>
      </c>
      <c r="O1631" s="1079">
        <v>11.45</v>
      </c>
      <c r="P1631" s="1079">
        <v>7.71</v>
      </c>
      <c r="Q1631" s="1079">
        <v>5.16</v>
      </c>
      <c r="R1631" s="1079">
        <v>2.16</v>
      </c>
      <c r="S1631" s="1079">
        <v>7.16</v>
      </c>
      <c r="T1631" s="1079">
        <v>3.17</v>
      </c>
      <c r="U1631" s="1079">
        <v>11.12</v>
      </c>
      <c r="V1631" s="1079">
        <v>4.6399999999999997</v>
      </c>
      <c r="W1631" s="1079"/>
      <c r="X1631" s="1079"/>
      <c r="Y1631" s="1079"/>
      <c r="Z1631" s="1079"/>
      <c r="AA1631" s="1079"/>
      <c r="AB1631" s="1079"/>
      <c r="AC1631" s="1079"/>
      <c r="AD1631" s="1080"/>
    </row>
    <row r="1632" spans="1:30" x14ac:dyDescent="0.2">
      <c r="A1632">
        <f t="shared" si="59"/>
        <v>45</v>
      </c>
      <c r="B1632">
        <v>1623</v>
      </c>
      <c r="C1632" s="1078">
        <v>2</v>
      </c>
      <c r="D1632" s="1077" t="s">
        <v>3603</v>
      </c>
      <c r="E1632" s="1077" t="s">
        <v>5360</v>
      </c>
      <c r="F1632" s="1079">
        <v>4</v>
      </c>
      <c r="G1632" s="1079">
        <v>5.23</v>
      </c>
      <c r="H1632" s="1079">
        <v>2.31</v>
      </c>
      <c r="I1632" s="1079">
        <v>6.5</v>
      </c>
      <c r="J1632" s="1079">
        <v>2.7</v>
      </c>
      <c r="K1632" s="1079">
        <v>6.79</v>
      </c>
      <c r="L1632" s="1079">
        <v>3.7</v>
      </c>
      <c r="M1632" s="1079">
        <v>8</v>
      </c>
      <c r="N1632" s="1079">
        <v>4.9000000000000004</v>
      </c>
      <c r="O1632" s="1079">
        <v>12.33</v>
      </c>
      <c r="P1632" s="1079">
        <v>7.17</v>
      </c>
      <c r="Q1632" s="1079">
        <v>6.18</v>
      </c>
      <c r="R1632" s="1079">
        <v>2.08</v>
      </c>
      <c r="S1632" s="1079">
        <v>8.3800000000000008</v>
      </c>
      <c r="T1632" s="1079">
        <v>3.14</v>
      </c>
      <c r="U1632" s="1079">
        <v>11.5</v>
      </c>
      <c r="V1632" s="1079">
        <v>4.5</v>
      </c>
      <c r="W1632" s="1079"/>
      <c r="X1632" s="1079"/>
      <c r="Y1632" s="1079"/>
      <c r="Z1632" s="1079"/>
      <c r="AA1632" s="1079"/>
      <c r="AB1632" s="1079"/>
      <c r="AC1632" s="1079"/>
      <c r="AD1632" s="1080"/>
    </row>
    <row r="1633" spans="1:30" x14ac:dyDescent="0.2">
      <c r="A1633">
        <f t="shared" si="59"/>
        <v>45</v>
      </c>
      <c r="B1633">
        <v>1624</v>
      </c>
      <c r="C1633" s="1078">
        <v>2</v>
      </c>
      <c r="D1633" s="1077" t="s">
        <v>3603</v>
      </c>
      <c r="E1633" s="1077" t="s">
        <v>5155</v>
      </c>
      <c r="F1633" s="1079">
        <v>4</v>
      </c>
      <c r="G1633" s="1079">
        <v>7.72</v>
      </c>
      <c r="H1633" s="1079">
        <v>2.66</v>
      </c>
      <c r="I1633" s="1079">
        <v>9.6999999999999993</v>
      </c>
      <c r="J1633" s="1079">
        <v>3.16</v>
      </c>
      <c r="K1633" s="1079">
        <v>10.97</v>
      </c>
      <c r="L1633" s="1079">
        <v>4.46</v>
      </c>
      <c r="M1633" s="1079">
        <v>11.95</v>
      </c>
      <c r="N1633" s="1079">
        <v>5.31</v>
      </c>
      <c r="O1633" s="1079">
        <v>20.73</v>
      </c>
      <c r="P1633" s="1079">
        <v>8.5500000000000007</v>
      </c>
      <c r="Q1633" s="1079">
        <v>9.18</v>
      </c>
      <c r="R1633" s="1079">
        <v>2.13</v>
      </c>
      <c r="S1633" s="1079">
        <v>11.86</v>
      </c>
      <c r="T1633" s="1079">
        <v>2.97</v>
      </c>
      <c r="U1633" s="1079">
        <v>19.690000000000001</v>
      </c>
      <c r="V1633" s="1079">
        <v>4.54</v>
      </c>
      <c r="W1633" s="1079"/>
      <c r="X1633" s="1079"/>
      <c r="Y1633" s="1079"/>
      <c r="Z1633" s="1079"/>
      <c r="AA1633" s="1079"/>
      <c r="AB1633" s="1079"/>
      <c r="AC1633" s="1079"/>
      <c r="AD1633" s="1080"/>
    </row>
    <row r="1634" spans="1:30" x14ac:dyDescent="0.2">
      <c r="A1634">
        <f t="shared" si="59"/>
        <v>45</v>
      </c>
      <c r="B1634">
        <v>1625</v>
      </c>
      <c r="C1634" s="1078">
        <v>2</v>
      </c>
      <c r="D1634" s="1077" t="s">
        <v>3603</v>
      </c>
      <c r="E1634" s="1077" t="s">
        <v>5156</v>
      </c>
      <c r="F1634" s="1079">
        <v>4</v>
      </c>
      <c r="G1634" s="1079">
        <v>8.9</v>
      </c>
      <c r="H1634" s="1079">
        <v>2.5299999999999998</v>
      </c>
      <c r="I1634" s="1079">
        <v>11.13</v>
      </c>
      <c r="J1634" s="1079">
        <v>2.97</v>
      </c>
      <c r="K1634" s="1079">
        <v>12.34</v>
      </c>
      <c r="L1634" s="1079">
        <v>3.98</v>
      </c>
      <c r="M1634" s="1079">
        <v>13.4</v>
      </c>
      <c r="N1634" s="1079">
        <v>5.21</v>
      </c>
      <c r="O1634" s="1079">
        <v>22.63</v>
      </c>
      <c r="P1634" s="1079">
        <v>8.17</v>
      </c>
      <c r="Q1634" s="1079">
        <v>10.6</v>
      </c>
      <c r="R1634" s="1079">
        <v>2.2999999999999998</v>
      </c>
      <c r="S1634" s="1079">
        <v>13.33</v>
      </c>
      <c r="T1634" s="1079">
        <v>3.4</v>
      </c>
      <c r="U1634" s="1079">
        <v>20.65</v>
      </c>
      <c r="V1634" s="1079">
        <v>4.8</v>
      </c>
      <c r="W1634" s="1079"/>
      <c r="X1634" s="1079"/>
      <c r="Y1634" s="1079"/>
      <c r="Z1634" s="1079"/>
      <c r="AA1634" s="1079"/>
      <c r="AB1634" s="1079"/>
      <c r="AC1634" s="1079"/>
      <c r="AD1634" s="1080"/>
    </row>
    <row r="1635" spans="1:30" x14ac:dyDescent="0.2">
      <c r="A1635">
        <f t="shared" si="59"/>
        <v>45</v>
      </c>
      <c r="B1635">
        <v>1626</v>
      </c>
      <c r="C1635" s="1078">
        <v>2</v>
      </c>
      <c r="D1635" s="1077" t="s">
        <v>3603</v>
      </c>
      <c r="E1635" s="1077" t="s">
        <v>5361</v>
      </c>
      <c r="F1635" s="1079">
        <v>4</v>
      </c>
      <c r="G1635" s="1079">
        <v>9</v>
      </c>
      <c r="H1635" s="1079">
        <v>2.4900000000000002</v>
      </c>
      <c r="I1635" s="1079">
        <v>11.7</v>
      </c>
      <c r="J1635" s="1079">
        <v>2.95</v>
      </c>
      <c r="K1635" s="1079">
        <v>12.75</v>
      </c>
      <c r="L1635" s="1079">
        <v>4.3</v>
      </c>
      <c r="M1635" s="1079">
        <v>17.100000000000001</v>
      </c>
      <c r="N1635" s="1079">
        <v>5.31</v>
      </c>
      <c r="O1635" s="1079">
        <v>22.45</v>
      </c>
      <c r="P1635" s="1079">
        <v>7.66</v>
      </c>
      <c r="Q1635" s="1079">
        <v>11.8</v>
      </c>
      <c r="R1635" s="1079">
        <v>2.2999999999999998</v>
      </c>
      <c r="S1635" s="1079">
        <v>15.69</v>
      </c>
      <c r="T1635" s="1079">
        <v>3.31</v>
      </c>
      <c r="U1635" s="1079">
        <v>22.54</v>
      </c>
      <c r="V1635" s="1079">
        <v>4.83</v>
      </c>
      <c r="W1635" s="1079"/>
      <c r="X1635" s="1079"/>
      <c r="Y1635" s="1079"/>
      <c r="Z1635" s="1079"/>
      <c r="AA1635" s="1079"/>
      <c r="AB1635" s="1079"/>
      <c r="AC1635" s="1079"/>
      <c r="AD1635" s="1080"/>
    </row>
    <row r="1636" spans="1:30" x14ac:dyDescent="0.2">
      <c r="A1636">
        <f t="shared" si="59"/>
        <v>45</v>
      </c>
      <c r="B1636">
        <v>1627</v>
      </c>
      <c r="C1636" s="1078">
        <v>2</v>
      </c>
      <c r="D1636" s="1077" t="s">
        <v>3603</v>
      </c>
      <c r="E1636" s="1077" t="s">
        <v>5362</v>
      </c>
      <c r="F1636" s="1079">
        <v>4</v>
      </c>
      <c r="G1636" s="1079" t="s">
        <v>5414</v>
      </c>
      <c r="H1636" s="1079">
        <v>2.46</v>
      </c>
      <c r="I1636" s="1079">
        <v>12.3</v>
      </c>
      <c r="J1636" s="1079">
        <v>2.87</v>
      </c>
      <c r="K1636" s="1079">
        <v>13.2</v>
      </c>
      <c r="L1636" s="1079">
        <v>4.0599999999999996</v>
      </c>
      <c r="M1636" s="1079">
        <v>18.5</v>
      </c>
      <c r="N1636" s="1079">
        <v>5.27</v>
      </c>
      <c r="O1636" s="1079">
        <v>25.66</v>
      </c>
      <c r="P1636" s="1079">
        <v>7.11</v>
      </c>
      <c r="Q1636" s="1079">
        <v>12.5</v>
      </c>
      <c r="R1636" s="1079">
        <v>2.2000000000000002</v>
      </c>
      <c r="S1636" s="1079">
        <v>16.03</v>
      </c>
      <c r="T1636" s="1079">
        <v>3.31</v>
      </c>
      <c r="U1636" s="1079">
        <v>26.52</v>
      </c>
      <c r="V1636" s="1079">
        <v>4.79</v>
      </c>
      <c r="W1636" s="1079"/>
      <c r="X1636" s="1079"/>
      <c r="Y1636" s="1079"/>
      <c r="Z1636" s="1079"/>
      <c r="AA1636" s="1079"/>
      <c r="AB1636" s="1079"/>
      <c r="AC1636" s="1079"/>
      <c r="AD1636" s="1080"/>
    </row>
    <row r="1637" spans="1:30" x14ac:dyDescent="0.2">
      <c r="A1637">
        <f t="shared" si="59"/>
        <v>45</v>
      </c>
      <c r="B1637">
        <v>1628</v>
      </c>
      <c r="C1637" s="1078">
        <v>2</v>
      </c>
      <c r="D1637" s="1077" t="s">
        <v>3603</v>
      </c>
      <c r="E1637" s="1077" t="s">
        <v>5415</v>
      </c>
      <c r="F1637" s="1079">
        <v>4</v>
      </c>
      <c r="G1637" s="1079">
        <v>22.7</v>
      </c>
      <c r="H1637" s="1079">
        <v>2.62</v>
      </c>
      <c r="I1637" s="1079">
        <v>25</v>
      </c>
      <c r="J1637" s="1079">
        <v>2.91</v>
      </c>
      <c r="K1637" s="1079">
        <v>29.1</v>
      </c>
      <c r="L1637" s="1079">
        <v>3.97</v>
      </c>
      <c r="M1637" s="1079">
        <v>39.5</v>
      </c>
      <c r="N1637" s="1079">
        <v>5.32</v>
      </c>
      <c r="O1637" s="1079">
        <v>44.2</v>
      </c>
      <c r="P1637" s="1079">
        <v>7.47</v>
      </c>
      <c r="Q1637" s="1079">
        <v>25.7</v>
      </c>
      <c r="R1637" s="1079">
        <v>2.2799999999999998</v>
      </c>
      <c r="S1637" s="1079">
        <v>37.799999999999997</v>
      </c>
      <c r="T1637" s="1079">
        <v>3.59</v>
      </c>
      <c r="U1637" s="1079">
        <v>43.94</v>
      </c>
      <c r="V1637" s="1079">
        <v>4.8600000000000003</v>
      </c>
      <c r="W1637" s="1079"/>
      <c r="X1637" s="1079"/>
      <c r="Y1637" s="1079"/>
      <c r="Z1637" s="1079"/>
      <c r="AA1637" s="1079"/>
      <c r="AB1637" s="1079"/>
      <c r="AC1637" s="1079"/>
      <c r="AD1637" s="1080"/>
    </row>
    <row r="1638" spans="1:30" x14ac:dyDescent="0.2">
      <c r="A1638">
        <f t="shared" si="59"/>
        <v>45</v>
      </c>
      <c r="B1638">
        <v>1629</v>
      </c>
      <c r="C1638" s="1078">
        <v>2</v>
      </c>
      <c r="D1638" s="1077" t="s">
        <v>3603</v>
      </c>
      <c r="E1638" s="1077" t="s">
        <v>5363</v>
      </c>
      <c r="F1638" s="1079">
        <v>4</v>
      </c>
      <c r="G1638" s="1079">
        <v>3.02</v>
      </c>
      <c r="H1638" s="1079">
        <v>2.56</v>
      </c>
      <c r="I1638" s="1079">
        <v>3.83</v>
      </c>
      <c r="J1638" s="1079">
        <v>3.2</v>
      </c>
      <c r="K1638" s="1079">
        <v>4.46</v>
      </c>
      <c r="L1638" s="1079">
        <v>4</v>
      </c>
      <c r="M1638" s="1079">
        <v>4</v>
      </c>
      <c r="N1638" s="1079">
        <v>5.0999999999999996</v>
      </c>
      <c r="O1638" s="1079">
        <v>8.2799999999999994</v>
      </c>
      <c r="P1638" s="1079">
        <v>8.17</v>
      </c>
      <c r="Q1638" s="1079">
        <v>3.52</v>
      </c>
      <c r="R1638" s="1079">
        <v>2.23</v>
      </c>
      <c r="S1638" s="1079">
        <v>5.36</v>
      </c>
      <c r="T1638" s="1079">
        <v>3.13</v>
      </c>
      <c r="U1638" s="1079">
        <v>7.89</v>
      </c>
      <c r="V1638" s="1079">
        <v>4.6399999999999997</v>
      </c>
      <c r="W1638" s="1079"/>
      <c r="X1638" s="1079"/>
      <c r="Y1638" s="1079"/>
      <c r="Z1638" s="1079"/>
      <c r="AA1638" s="1079"/>
      <c r="AB1638" s="1079"/>
      <c r="AC1638" s="1079"/>
      <c r="AD1638" s="1080"/>
    </row>
    <row r="1639" spans="1:30" x14ac:dyDescent="0.2">
      <c r="A1639">
        <f t="shared" si="59"/>
        <v>45</v>
      </c>
      <c r="B1639">
        <v>1630</v>
      </c>
      <c r="C1639" s="1078">
        <v>2</v>
      </c>
      <c r="D1639" s="1077" t="s">
        <v>3603</v>
      </c>
      <c r="E1639" s="1077" t="s">
        <v>5351</v>
      </c>
      <c r="F1639" s="1079">
        <v>4</v>
      </c>
      <c r="G1639" s="1079">
        <v>4.4000000000000004</v>
      </c>
      <c r="H1639" s="1079">
        <v>2.44</v>
      </c>
      <c r="I1639" s="1079">
        <v>5.6</v>
      </c>
      <c r="J1639" s="1079">
        <v>3</v>
      </c>
      <c r="K1639" s="1079">
        <v>5.97</v>
      </c>
      <c r="L1639" s="1079">
        <v>4</v>
      </c>
      <c r="M1639" s="1079">
        <v>6</v>
      </c>
      <c r="N1639" s="1079">
        <v>5.0999999999999996</v>
      </c>
      <c r="O1639" s="1079">
        <v>11.45</v>
      </c>
      <c r="P1639" s="1079">
        <v>7.71</v>
      </c>
      <c r="Q1639" s="1079">
        <v>5.16</v>
      </c>
      <c r="R1639" s="1079">
        <v>2.16</v>
      </c>
      <c r="S1639" s="1079">
        <v>7.16</v>
      </c>
      <c r="T1639" s="1079">
        <v>3.17</v>
      </c>
      <c r="U1639" s="1079">
        <v>11.12</v>
      </c>
      <c r="V1639" s="1079">
        <v>4.6399999999999997</v>
      </c>
      <c r="W1639" s="1079"/>
      <c r="X1639" s="1079"/>
      <c r="Y1639" s="1079"/>
      <c r="Z1639" s="1079"/>
      <c r="AA1639" s="1079"/>
      <c r="AB1639" s="1079"/>
      <c r="AC1639" s="1079"/>
      <c r="AD1639" s="1080"/>
    </row>
    <row r="1640" spans="1:30" x14ac:dyDescent="0.2">
      <c r="A1640">
        <f t="shared" si="59"/>
        <v>45</v>
      </c>
      <c r="B1640">
        <v>1631</v>
      </c>
      <c r="C1640" s="1078">
        <v>2</v>
      </c>
      <c r="D1640" s="1077" t="s">
        <v>3603</v>
      </c>
      <c r="E1640" s="1077" t="s">
        <v>5352</v>
      </c>
      <c r="F1640" s="1079">
        <v>4</v>
      </c>
      <c r="G1640" s="1079">
        <v>5.23</v>
      </c>
      <c r="H1640" s="1079">
        <v>2.31</v>
      </c>
      <c r="I1640" s="1079">
        <v>6.5</v>
      </c>
      <c r="J1640" s="1079">
        <v>2.7</v>
      </c>
      <c r="K1640" s="1079">
        <v>6.79</v>
      </c>
      <c r="L1640" s="1079">
        <v>3.7</v>
      </c>
      <c r="M1640" s="1079">
        <v>8</v>
      </c>
      <c r="N1640" s="1079">
        <v>4.9000000000000004</v>
      </c>
      <c r="O1640" s="1079">
        <v>12.33</v>
      </c>
      <c r="P1640" s="1079">
        <v>7.17</v>
      </c>
      <c r="Q1640" s="1079">
        <v>6.18</v>
      </c>
      <c r="R1640" s="1079">
        <v>2.08</v>
      </c>
      <c r="S1640" s="1079">
        <v>8.3800000000000008</v>
      </c>
      <c r="T1640" s="1079">
        <v>3.14</v>
      </c>
      <c r="U1640" s="1079">
        <v>11.5</v>
      </c>
      <c r="V1640" s="1079">
        <v>4.5</v>
      </c>
      <c r="W1640" s="1079"/>
      <c r="X1640" s="1079"/>
      <c r="Y1640" s="1079"/>
      <c r="Z1640" s="1079"/>
      <c r="AA1640" s="1079"/>
      <c r="AB1640" s="1079"/>
      <c r="AC1640" s="1079"/>
      <c r="AD1640" s="1080"/>
    </row>
    <row r="1641" spans="1:30" x14ac:dyDescent="0.2">
      <c r="A1641">
        <f t="shared" si="59"/>
        <v>45</v>
      </c>
      <c r="B1641">
        <v>1632</v>
      </c>
      <c r="C1641" s="1078">
        <v>2</v>
      </c>
      <c r="D1641" s="1077" t="s">
        <v>3603</v>
      </c>
      <c r="E1641" s="1077" t="s">
        <v>5157</v>
      </c>
      <c r="F1641" s="1079">
        <v>4</v>
      </c>
      <c r="G1641" s="1079">
        <v>7.72</v>
      </c>
      <c r="H1641" s="1079">
        <v>2.66</v>
      </c>
      <c r="I1641" s="1079">
        <v>9.6999999999999993</v>
      </c>
      <c r="J1641" s="1079">
        <v>3.16</v>
      </c>
      <c r="K1641" s="1079">
        <v>10.97</v>
      </c>
      <c r="L1641" s="1079">
        <v>4.46</v>
      </c>
      <c r="M1641" s="1079">
        <v>11.95</v>
      </c>
      <c r="N1641" s="1079">
        <v>5.31</v>
      </c>
      <c r="O1641" s="1079">
        <v>20.73</v>
      </c>
      <c r="P1641" s="1079">
        <v>8.5500000000000007</v>
      </c>
      <c r="Q1641" s="1079">
        <v>9.18</v>
      </c>
      <c r="R1641" s="1079">
        <v>2.13</v>
      </c>
      <c r="S1641" s="1079">
        <v>11.86</v>
      </c>
      <c r="T1641" s="1079">
        <v>2.97</v>
      </c>
      <c r="U1641" s="1079">
        <v>19.690000000000001</v>
      </c>
      <c r="V1641" s="1079">
        <v>4.54</v>
      </c>
      <c r="W1641" s="1079"/>
      <c r="X1641" s="1079"/>
      <c r="Y1641" s="1079"/>
      <c r="Z1641" s="1079"/>
      <c r="AA1641" s="1079"/>
      <c r="AB1641" s="1079"/>
      <c r="AC1641" s="1079"/>
      <c r="AD1641" s="1080"/>
    </row>
    <row r="1642" spans="1:30" x14ac:dyDescent="0.2">
      <c r="A1642">
        <f t="shared" si="59"/>
        <v>45</v>
      </c>
      <c r="B1642">
        <v>1633</v>
      </c>
      <c r="C1642" s="1078">
        <v>2</v>
      </c>
      <c r="D1642" s="1077" t="s">
        <v>3603</v>
      </c>
      <c r="E1642" s="1077" t="s">
        <v>5158</v>
      </c>
      <c r="F1642" s="1079">
        <v>4</v>
      </c>
      <c r="G1642" s="1079">
        <v>8.9</v>
      </c>
      <c r="H1642" s="1079">
        <v>2.5299999999999998</v>
      </c>
      <c r="I1642" s="1079">
        <v>11.13</v>
      </c>
      <c r="J1642" s="1079">
        <v>2.97</v>
      </c>
      <c r="K1642" s="1079">
        <v>12.34</v>
      </c>
      <c r="L1642" s="1079">
        <v>3.98</v>
      </c>
      <c r="M1642" s="1079">
        <v>13.4</v>
      </c>
      <c r="N1642" s="1079">
        <v>5.21</v>
      </c>
      <c r="O1642" s="1079">
        <v>22.63</v>
      </c>
      <c r="P1642" s="1079">
        <v>8.17</v>
      </c>
      <c r="Q1642" s="1079">
        <v>10.6</v>
      </c>
      <c r="R1642" s="1079">
        <v>2.2999999999999998</v>
      </c>
      <c r="S1642" s="1079">
        <v>13.33</v>
      </c>
      <c r="T1642" s="1079">
        <v>3.4</v>
      </c>
      <c r="U1642" s="1079">
        <v>20.65</v>
      </c>
      <c r="V1642" s="1079">
        <v>4.8</v>
      </c>
      <c r="W1642" s="1079"/>
      <c r="X1642" s="1079"/>
      <c r="Y1642" s="1079"/>
      <c r="Z1642" s="1079"/>
      <c r="AA1642" s="1079"/>
      <c r="AB1642" s="1079"/>
      <c r="AC1642" s="1079"/>
      <c r="AD1642" s="1080"/>
    </row>
    <row r="1643" spans="1:30" x14ac:dyDescent="0.2">
      <c r="A1643">
        <f t="shared" si="59"/>
        <v>45</v>
      </c>
      <c r="B1643">
        <v>1634</v>
      </c>
      <c r="C1643" s="1078">
        <v>2</v>
      </c>
      <c r="D1643" s="1077" t="s">
        <v>3603</v>
      </c>
      <c r="E1643" s="1077" t="s">
        <v>5353</v>
      </c>
      <c r="F1643" s="1079">
        <v>4</v>
      </c>
      <c r="G1643" s="1079">
        <v>9</v>
      </c>
      <c r="H1643" s="1079">
        <v>2.4900000000000002</v>
      </c>
      <c r="I1643" s="1079">
        <v>11.7</v>
      </c>
      <c r="J1643" s="1079">
        <v>2.95</v>
      </c>
      <c r="K1643" s="1079">
        <v>12.75</v>
      </c>
      <c r="L1643" s="1079">
        <v>4.3</v>
      </c>
      <c r="M1643" s="1079">
        <v>17.100000000000001</v>
      </c>
      <c r="N1643" s="1079">
        <v>5.31</v>
      </c>
      <c r="O1643" s="1079">
        <v>22.45</v>
      </c>
      <c r="P1643" s="1079">
        <v>7.66</v>
      </c>
      <c r="Q1643" s="1079">
        <v>11.8</v>
      </c>
      <c r="R1643" s="1079">
        <v>2.2999999999999998</v>
      </c>
      <c r="S1643" s="1079">
        <v>15.69</v>
      </c>
      <c r="T1643" s="1079">
        <v>3.31</v>
      </c>
      <c r="U1643" s="1079">
        <v>22.54</v>
      </c>
      <c r="V1643" s="1079">
        <v>4.83</v>
      </c>
      <c r="W1643" s="1079"/>
      <c r="X1643" s="1079"/>
      <c r="Y1643" s="1079"/>
      <c r="Z1643" s="1079"/>
      <c r="AA1643" s="1079"/>
      <c r="AB1643" s="1079"/>
      <c r="AC1643" s="1079"/>
      <c r="AD1643" s="1080"/>
    </row>
    <row r="1644" spans="1:30" x14ac:dyDescent="0.2">
      <c r="A1644">
        <f t="shared" si="59"/>
        <v>45</v>
      </c>
      <c r="B1644">
        <v>1635</v>
      </c>
      <c r="C1644" s="1078">
        <v>2</v>
      </c>
      <c r="D1644" s="1077" t="s">
        <v>3603</v>
      </c>
      <c r="E1644" s="1077" t="s">
        <v>5354</v>
      </c>
      <c r="F1644" s="1079">
        <v>4</v>
      </c>
      <c r="G1644" s="1079" t="s">
        <v>5414</v>
      </c>
      <c r="H1644" s="1079">
        <v>2.46</v>
      </c>
      <c r="I1644" s="1079">
        <v>12.3</v>
      </c>
      <c r="J1644" s="1079">
        <v>2.87</v>
      </c>
      <c r="K1644" s="1079">
        <v>13.2</v>
      </c>
      <c r="L1644" s="1079">
        <v>4.0599999999999996</v>
      </c>
      <c r="M1644" s="1079">
        <v>18.5</v>
      </c>
      <c r="N1644" s="1079">
        <v>5.27</v>
      </c>
      <c r="O1644" s="1079">
        <v>25.66</v>
      </c>
      <c r="P1644" s="1079">
        <v>7.11</v>
      </c>
      <c r="Q1644" s="1079">
        <v>12.5</v>
      </c>
      <c r="R1644" s="1079">
        <v>2.2000000000000002</v>
      </c>
      <c r="S1644" s="1079">
        <v>16.03</v>
      </c>
      <c r="T1644" s="1079">
        <v>3.31</v>
      </c>
      <c r="U1644" s="1079">
        <v>26.52</v>
      </c>
      <c r="V1644" s="1079">
        <v>4.79</v>
      </c>
      <c r="W1644" s="1079"/>
      <c r="X1644" s="1079"/>
      <c r="Y1644" s="1079"/>
      <c r="Z1644" s="1079"/>
      <c r="AA1644" s="1079"/>
      <c r="AB1644" s="1079"/>
      <c r="AC1644" s="1079"/>
      <c r="AD1644" s="1080"/>
    </row>
    <row r="1645" spans="1:30" x14ac:dyDescent="0.2">
      <c r="A1645">
        <f t="shared" si="59"/>
        <v>45</v>
      </c>
      <c r="B1645">
        <v>1636</v>
      </c>
      <c r="C1645" s="1078">
        <v>3</v>
      </c>
      <c r="D1645" s="1077" t="s">
        <v>3603</v>
      </c>
      <c r="E1645" s="1077" t="s">
        <v>4292</v>
      </c>
      <c r="F1645" s="1079">
        <v>1</v>
      </c>
      <c r="G1645" s="1079"/>
      <c r="H1645" s="1079"/>
      <c r="I1645" s="1079"/>
      <c r="J1645" s="1079"/>
      <c r="K1645" s="1079"/>
      <c r="L1645" s="1079"/>
      <c r="M1645" s="1079"/>
      <c r="N1645" s="1079"/>
      <c r="O1645" s="1079"/>
      <c r="P1645" s="1079"/>
      <c r="Q1645" s="1079"/>
      <c r="R1645" s="1079"/>
      <c r="S1645" s="1079"/>
      <c r="T1645" s="1079"/>
      <c r="U1645" s="1079"/>
      <c r="V1645" s="1079"/>
      <c r="W1645" s="1079">
        <v>21.2</v>
      </c>
      <c r="X1645" s="1079">
        <v>4.7300000000000004</v>
      </c>
      <c r="Y1645" s="1079">
        <v>19.28</v>
      </c>
      <c r="Z1645" s="1079">
        <v>2.83</v>
      </c>
      <c r="AA1645" s="1079">
        <v>28.1</v>
      </c>
      <c r="AB1645" s="1079">
        <v>8.94</v>
      </c>
      <c r="AC1645" s="1079">
        <v>24.92</v>
      </c>
      <c r="AD1645" s="1080">
        <v>3.66</v>
      </c>
    </row>
    <row r="1646" spans="1:30" x14ac:dyDescent="0.2">
      <c r="A1646">
        <f t="shared" si="59"/>
        <v>45</v>
      </c>
      <c r="B1646">
        <v>1637</v>
      </c>
      <c r="C1646" s="1078">
        <v>3</v>
      </c>
      <c r="D1646" s="1077" t="s">
        <v>3603</v>
      </c>
      <c r="E1646" s="1077" t="s">
        <v>4293</v>
      </c>
      <c r="F1646" s="1079">
        <v>1</v>
      </c>
      <c r="G1646" s="1079"/>
      <c r="H1646" s="1079"/>
      <c r="I1646" s="1079"/>
      <c r="J1646" s="1079"/>
      <c r="K1646" s="1079"/>
      <c r="L1646" s="1079"/>
      <c r="M1646" s="1079"/>
      <c r="N1646" s="1079"/>
      <c r="O1646" s="1079"/>
      <c r="P1646" s="1079"/>
      <c r="Q1646" s="1079"/>
      <c r="R1646" s="1079"/>
      <c r="S1646" s="1079"/>
      <c r="T1646" s="1079"/>
      <c r="U1646" s="1079"/>
      <c r="V1646" s="1079"/>
      <c r="W1646" s="1079">
        <v>28.8</v>
      </c>
      <c r="X1646" s="1079">
        <v>4.83</v>
      </c>
      <c r="Y1646" s="1079">
        <v>26.09</v>
      </c>
      <c r="Z1646" s="1079">
        <v>2.68</v>
      </c>
      <c r="AA1646" s="1079">
        <v>37.1</v>
      </c>
      <c r="AB1646" s="1079">
        <v>6</v>
      </c>
      <c r="AC1646" s="1079">
        <v>34.11</v>
      </c>
      <c r="AD1646" s="1080">
        <v>3.59</v>
      </c>
    </row>
    <row r="1647" spans="1:30" x14ac:dyDescent="0.2">
      <c r="A1647">
        <f t="shared" si="59"/>
        <v>45</v>
      </c>
      <c r="B1647">
        <v>1638</v>
      </c>
      <c r="C1647" s="1078">
        <v>3</v>
      </c>
      <c r="D1647" s="1077" t="s">
        <v>3603</v>
      </c>
      <c r="E1647" s="1077" t="s">
        <v>4294</v>
      </c>
      <c r="F1647" s="1079">
        <v>1</v>
      </c>
      <c r="G1647" s="1079"/>
      <c r="H1647" s="1079"/>
      <c r="I1647" s="1079"/>
      <c r="J1647" s="1079"/>
      <c r="K1647" s="1079"/>
      <c r="L1647" s="1079"/>
      <c r="M1647" s="1079"/>
      <c r="N1647" s="1079"/>
      <c r="O1647" s="1079"/>
      <c r="P1647" s="1079"/>
      <c r="Q1647" s="1079"/>
      <c r="R1647" s="1079"/>
      <c r="S1647" s="1079"/>
      <c r="T1647" s="1079"/>
      <c r="U1647" s="1079"/>
      <c r="V1647" s="1079"/>
      <c r="W1647" s="1079">
        <v>42.8</v>
      </c>
      <c r="X1647" s="1079">
        <v>4.5999999999999996</v>
      </c>
      <c r="Y1647" s="1079">
        <v>39.75</v>
      </c>
      <c r="Z1647" s="1079">
        <v>2.76</v>
      </c>
      <c r="AA1647" s="1079">
        <v>58.9</v>
      </c>
      <c r="AB1647" s="1079">
        <v>5.5</v>
      </c>
      <c r="AC1647" s="1079">
        <v>48.74</v>
      </c>
      <c r="AD1647" s="1080">
        <v>3.4</v>
      </c>
    </row>
    <row r="1648" spans="1:30" x14ac:dyDescent="0.2">
      <c r="A1648">
        <f t="shared" si="59"/>
        <v>45</v>
      </c>
      <c r="B1648">
        <v>1639</v>
      </c>
      <c r="C1648" s="1078">
        <v>3</v>
      </c>
      <c r="D1648" s="1077" t="s">
        <v>3603</v>
      </c>
      <c r="E1648" s="1077" t="s">
        <v>4635</v>
      </c>
      <c r="F1648" s="1079">
        <v>1</v>
      </c>
      <c r="G1648" s="1079"/>
      <c r="H1648" s="1079"/>
      <c r="I1648" s="1079"/>
      <c r="J1648" s="1079"/>
      <c r="K1648" s="1079"/>
      <c r="L1648" s="1079"/>
      <c r="M1648" s="1079"/>
      <c r="N1648" s="1079"/>
      <c r="O1648" s="1079"/>
      <c r="P1648" s="1079"/>
      <c r="Q1648" s="1079"/>
      <c r="R1648" s="1079"/>
      <c r="S1648" s="1079"/>
      <c r="T1648" s="1079"/>
      <c r="U1648" s="1079"/>
      <c r="V1648" s="1079"/>
      <c r="W1648" s="1079">
        <v>20.5</v>
      </c>
      <c r="X1648" s="1079">
        <v>4.8</v>
      </c>
      <c r="Y1648" s="1079">
        <v>20.6</v>
      </c>
      <c r="Z1648" s="1079">
        <v>3.3</v>
      </c>
      <c r="AA1648" s="1079">
        <v>25.4</v>
      </c>
      <c r="AB1648" s="1079">
        <v>5.7</v>
      </c>
      <c r="AC1648" s="1079">
        <v>26.2</v>
      </c>
      <c r="AD1648" s="1080">
        <v>4</v>
      </c>
    </row>
    <row r="1649" spans="1:30" x14ac:dyDescent="0.2">
      <c r="A1649">
        <f t="shared" si="59"/>
        <v>45</v>
      </c>
      <c r="B1649">
        <v>1640</v>
      </c>
      <c r="C1649" s="1078">
        <v>3</v>
      </c>
      <c r="D1649" s="1077" t="s">
        <v>3603</v>
      </c>
      <c r="E1649" s="1077" t="s">
        <v>4636</v>
      </c>
      <c r="F1649" s="1079">
        <v>1</v>
      </c>
      <c r="G1649" s="1079"/>
      <c r="H1649" s="1079"/>
      <c r="I1649" s="1079"/>
      <c r="J1649" s="1079"/>
      <c r="K1649" s="1079"/>
      <c r="L1649" s="1079"/>
      <c r="M1649" s="1079"/>
      <c r="N1649" s="1079"/>
      <c r="O1649" s="1079"/>
      <c r="P1649" s="1079"/>
      <c r="Q1649" s="1079"/>
      <c r="R1649" s="1079"/>
      <c r="S1649" s="1079"/>
      <c r="T1649" s="1079"/>
      <c r="U1649" s="1079"/>
      <c r="V1649" s="1079"/>
      <c r="W1649" s="1079">
        <v>28.7</v>
      </c>
      <c r="X1649" s="1079">
        <v>4.9000000000000004</v>
      </c>
      <c r="Y1649" s="1079">
        <v>29.9</v>
      </c>
      <c r="Z1649" s="1079">
        <v>3.3</v>
      </c>
      <c r="AA1649" s="1079">
        <v>34.700000000000003</v>
      </c>
      <c r="AB1649" s="1079">
        <v>6.1</v>
      </c>
      <c r="AC1649" s="1079">
        <v>35.700000000000003</v>
      </c>
      <c r="AD1649" s="1080">
        <v>4.0999999999999996</v>
      </c>
    </row>
    <row r="1650" spans="1:30" x14ac:dyDescent="0.2">
      <c r="A1650">
        <f t="shared" si="59"/>
        <v>45</v>
      </c>
      <c r="B1650">
        <v>1641</v>
      </c>
      <c r="C1650" s="1078">
        <v>3</v>
      </c>
      <c r="D1650" s="1077" t="s">
        <v>3603</v>
      </c>
      <c r="E1650" s="1077" t="s">
        <v>4637</v>
      </c>
      <c r="F1650" s="1079">
        <v>1</v>
      </c>
      <c r="G1650" s="1079"/>
      <c r="H1650" s="1079"/>
      <c r="I1650" s="1079"/>
      <c r="J1650" s="1079"/>
      <c r="K1650" s="1079"/>
      <c r="L1650" s="1079"/>
      <c r="M1650" s="1079"/>
      <c r="N1650" s="1079"/>
      <c r="O1650" s="1079"/>
      <c r="P1650" s="1079"/>
      <c r="Q1650" s="1079"/>
      <c r="R1650" s="1079"/>
      <c r="S1650" s="1079"/>
      <c r="T1650" s="1079"/>
      <c r="U1650" s="1079"/>
      <c r="V1650" s="1079"/>
      <c r="W1650" s="1079">
        <v>32.700000000000003</v>
      </c>
      <c r="X1650" s="1079">
        <v>5</v>
      </c>
      <c r="Y1650" s="1079">
        <v>34.200000000000003</v>
      </c>
      <c r="Z1650" s="1079">
        <v>3.3</v>
      </c>
      <c r="AA1650" s="1079">
        <v>42.2</v>
      </c>
      <c r="AB1650" s="1079">
        <v>6.2</v>
      </c>
      <c r="AC1650" s="1079">
        <v>42.5</v>
      </c>
      <c r="AD1650" s="1080">
        <v>4</v>
      </c>
    </row>
    <row r="1651" spans="1:30" x14ac:dyDescent="0.2">
      <c r="A1651">
        <f t="shared" si="59"/>
        <v>45</v>
      </c>
      <c r="B1651">
        <v>1642</v>
      </c>
      <c r="C1651" s="1078">
        <v>3</v>
      </c>
      <c r="D1651" s="1077" t="s">
        <v>3603</v>
      </c>
      <c r="E1651" s="1077" t="s">
        <v>4638</v>
      </c>
      <c r="F1651" s="1079">
        <v>1</v>
      </c>
      <c r="G1651" s="1079"/>
      <c r="H1651" s="1079"/>
      <c r="I1651" s="1079"/>
      <c r="J1651" s="1079"/>
      <c r="K1651" s="1079"/>
      <c r="L1651" s="1079"/>
      <c r="M1651" s="1079"/>
      <c r="N1651" s="1079"/>
      <c r="O1651" s="1079"/>
      <c r="P1651" s="1079"/>
      <c r="Q1651" s="1079"/>
      <c r="R1651" s="1079"/>
      <c r="S1651" s="1079"/>
      <c r="T1651" s="1079"/>
      <c r="U1651" s="1079"/>
      <c r="V1651" s="1079"/>
      <c r="W1651" s="1079">
        <v>42.3</v>
      </c>
      <c r="X1651" s="1079">
        <v>4.8</v>
      </c>
      <c r="Y1651" s="1079">
        <v>43.1</v>
      </c>
      <c r="Z1651" s="1079">
        <v>3.3</v>
      </c>
      <c r="AA1651" s="1079">
        <v>52.3</v>
      </c>
      <c r="AB1651" s="1079">
        <v>5.8</v>
      </c>
      <c r="AC1651" s="1079">
        <v>52.9</v>
      </c>
      <c r="AD1651" s="1080">
        <v>3.9</v>
      </c>
    </row>
    <row r="1652" spans="1:30" x14ac:dyDescent="0.2">
      <c r="A1652">
        <f t="shared" si="59"/>
        <v>45</v>
      </c>
      <c r="B1652">
        <v>1643</v>
      </c>
      <c r="C1652" s="1078">
        <v>3</v>
      </c>
      <c r="D1652" s="1077" t="s">
        <v>3603</v>
      </c>
      <c r="E1652" s="1077" t="s">
        <v>4639</v>
      </c>
      <c r="F1652" s="1079">
        <v>4</v>
      </c>
      <c r="G1652" s="1079"/>
      <c r="H1652" s="1079"/>
      <c r="I1652" s="1079"/>
      <c r="J1652" s="1079"/>
      <c r="K1652" s="1079"/>
      <c r="L1652" s="1079"/>
      <c r="M1652" s="1079"/>
      <c r="N1652" s="1079"/>
      <c r="O1652" s="1079"/>
      <c r="P1652" s="1079"/>
      <c r="Q1652" s="1079"/>
      <c r="R1652" s="1079"/>
      <c r="S1652" s="1079"/>
      <c r="T1652" s="1079"/>
      <c r="U1652" s="1079"/>
      <c r="V1652" s="1079"/>
      <c r="W1652" s="1079">
        <v>8.64</v>
      </c>
      <c r="X1652" s="1079">
        <v>4.7</v>
      </c>
      <c r="Y1652" s="1079">
        <v>8.09</v>
      </c>
      <c r="Z1652" s="1079">
        <v>2.73</v>
      </c>
      <c r="AA1652" s="1079">
        <v>11.12</v>
      </c>
      <c r="AB1652" s="1079">
        <v>6.35</v>
      </c>
      <c r="AC1652" s="1079">
        <v>10.3</v>
      </c>
      <c r="AD1652" s="1080">
        <v>3.58</v>
      </c>
    </row>
    <row r="1653" spans="1:30" x14ac:dyDescent="0.2">
      <c r="A1653">
        <f t="shared" si="59"/>
        <v>45</v>
      </c>
      <c r="B1653">
        <v>1644</v>
      </c>
      <c r="C1653" s="1078">
        <v>3</v>
      </c>
      <c r="D1653" s="1077" t="s">
        <v>3603</v>
      </c>
      <c r="E1653" s="1077" t="s">
        <v>4640</v>
      </c>
      <c r="F1653" s="1079">
        <v>4</v>
      </c>
      <c r="G1653" s="1079"/>
      <c r="H1653" s="1079"/>
      <c r="I1653" s="1079"/>
      <c r="J1653" s="1079"/>
      <c r="K1653" s="1079"/>
      <c r="L1653" s="1079"/>
      <c r="M1653" s="1079"/>
      <c r="N1653" s="1079"/>
      <c r="O1653" s="1079"/>
      <c r="P1653" s="1079"/>
      <c r="Q1653" s="1079"/>
      <c r="R1653" s="1079"/>
      <c r="S1653" s="1079"/>
      <c r="T1653" s="1079"/>
      <c r="U1653" s="1079"/>
      <c r="V1653" s="1079"/>
      <c r="W1653" s="1079">
        <v>11.37</v>
      </c>
      <c r="X1653" s="1079">
        <v>4.8</v>
      </c>
      <c r="Y1653" s="1079">
        <v>10.83</v>
      </c>
      <c r="Z1653" s="1079">
        <v>2.9</v>
      </c>
      <c r="AA1653" s="1079">
        <v>14.5</v>
      </c>
      <c r="AB1653" s="1079">
        <v>6.37</v>
      </c>
      <c r="AC1653" s="1079">
        <v>13.43</v>
      </c>
      <c r="AD1653" s="1080">
        <v>3.61</v>
      </c>
    </row>
    <row r="1654" spans="1:30" x14ac:dyDescent="0.2">
      <c r="A1654">
        <f t="shared" si="59"/>
        <v>45</v>
      </c>
      <c r="B1654">
        <v>1645</v>
      </c>
      <c r="C1654" s="1078">
        <v>3</v>
      </c>
      <c r="D1654" s="1077" t="s">
        <v>3603</v>
      </c>
      <c r="E1654" s="1077" t="s">
        <v>4721</v>
      </c>
      <c r="F1654" s="1079">
        <v>1</v>
      </c>
      <c r="G1654" s="1079"/>
      <c r="H1654" s="1079"/>
      <c r="I1654" s="1079"/>
      <c r="J1654" s="1079"/>
      <c r="K1654" s="1079"/>
      <c r="L1654" s="1079"/>
      <c r="M1654" s="1079"/>
      <c r="N1654" s="1079"/>
      <c r="O1654" s="1079"/>
      <c r="P1654" s="1079"/>
      <c r="Q1654" s="1079"/>
      <c r="R1654" s="1079"/>
      <c r="S1654" s="1079"/>
      <c r="T1654" s="1079"/>
      <c r="U1654" s="1079"/>
      <c r="V1654" s="1079"/>
      <c r="W1654" s="1079">
        <v>5.84</v>
      </c>
      <c r="X1654" s="1079">
        <v>4.5999999999999996</v>
      </c>
      <c r="Y1654" s="1079">
        <v>5.21</v>
      </c>
      <c r="Z1654" s="1079">
        <v>2.72</v>
      </c>
      <c r="AA1654" s="1079">
        <v>7.75</v>
      </c>
      <c r="AB1654" s="1079">
        <v>5.91</v>
      </c>
      <c r="AC1654" s="1079">
        <v>6.89</v>
      </c>
      <c r="AD1654" s="1080">
        <v>3.55</v>
      </c>
    </row>
    <row r="1655" spans="1:30" x14ac:dyDescent="0.2">
      <c r="A1655">
        <f t="shared" si="59"/>
        <v>45</v>
      </c>
      <c r="B1655">
        <v>1646</v>
      </c>
      <c r="C1655" s="1078">
        <v>3</v>
      </c>
      <c r="D1655" s="1077" t="s">
        <v>3603</v>
      </c>
      <c r="E1655" s="1077" t="s">
        <v>4722</v>
      </c>
      <c r="F1655" s="1079">
        <v>1</v>
      </c>
      <c r="G1655" s="1079"/>
      <c r="H1655" s="1079"/>
      <c r="I1655" s="1079"/>
      <c r="J1655" s="1079"/>
      <c r="K1655" s="1079"/>
      <c r="L1655" s="1079"/>
      <c r="M1655" s="1079"/>
      <c r="N1655" s="1079"/>
      <c r="O1655" s="1079"/>
      <c r="P1655" s="1079"/>
      <c r="Q1655" s="1079"/>
      <c r="R1655" s="1079"/>
      <c r="S1655" s="1079"/>
      <c r="T1655" s="1079"/>
      <c r="U1655" s="1079"/>
      <c r="V1655" s="1079"/>
      <c r="W1655" s="1079">
        <v>7.5</v>
      </c>
      <c r="X1655" s="1079">
        <v>4.6399999999999997</v>
      </c>
      <c r="Y1655" s="1079">
        <v>7.01</v>
      </c>
      <c r="Z1655" s="1079">
        <v>2.78</v>
      </c>
      <c r="AA1655" s="1079">
        <v>9.94</v>
      </c>
      <c r="AB1655" s="1079">
        <v>6.42</v>
      </c>
      <c r="AC1655" s="1079">
        <v>9.09</v>
      </c>
      <c r="AD1655" s="1080">
        <v>3.77</v>
      </c>
    </row>
    <row r="1656" spans="1:30" x14ac:dyDescent="0.2">
      <c r="A1656">
        <f t="shared" si="59"/>
        <v>45</v>
      </c>
      <c r="B1656">
        <v>1647</v>
      </c>
      <c r="C1656" s="1078">
        <v>3</v>
      </c>
      <c r="D1656" s="1077" t="s">
        <v>3603</v>
      </c>
      <c r="E1656" s="1077" t="s">
        <v>4723</v>
      </c>
      <c r="F1656" s="1079">
        <v>1</v>
      </c>
      <c r="G1656" s="1079"/>
      <c r="H1656" s="1079"/>
      <c r="I1656" s="1079"/>
      <c r="J1656" s="1079"/>
      <c r="K1656" s="1079"/>
      <c r="L1656" s="1079"/>
      <c r="M1656" s="1079"/>
      <c r="N1656" s="1079"/>
      <c r="O1656" s="1079"/>
      <c r="P1656" s="1079"/>
      <c r="Q1656" s="1079"/>
      <c r="R1656" s="1079"/>
      <c r="S1656" s="1079"/>
      <c r="T1656" s="1079"/>
      <c r="U1656" s="1079"/>
      <c r="V1656" s="1079"/>
      <c r="W1656" s="1079">
        <v>10.39</v>
      </c>
      <c r="X1656" s="1079">
        <v>4.84</v>
      </c>
      <c r="Y1656" s="1079">
        <v>9.5</v>
      </c>
      <c r="Z1656" s="1079">
        <v>3.01</v>
      </c>
      <c r="AA1656" s="1079">
        <v>13.6</v>
      </c>
      <c r="AB1656" s="1079">
        <v>6.53</v>
      </c>
      <c r="AC1656" s="1079">
        <v>12.42</v>
      </c>
      <c r="AD1656" s="1080">
        <v>3.91</v>
      </c>
    </row>
    <row r="1657" spans="1:30" x14ac:dyDescent="0.2">
      <c r="A1657">
        <f t="shared" si="59"/>
        <v>45</v>
      </c>
      <c r="B1657">
        <v>1648</v>
      </c>
      <c r="C1657" s="1078">
        <v>3</v>
      </c>
      <c r="D1657" s="1077" t="s">
        <v>3603</v>
      </c>
      <c r="E1657" s="1077" t="s">
        <v>4724</v>
      </c>
      <c r="F1657" s="1079">
        <v>1</v>
      </c>
      <c r="G1657" s="1079"/>
      <c r="H1657" s="1079"/>
      <c r="I1657" s="1079"/>
      <c r="J1657" s="1079"/>
      <c r="K1657" s="1079"/>
      <c r="L1657" s="1079"/>
      <c r="M1657" s="1079"/>
      <c r="N1657" s="1079"/>
      <c r="O1657" s="1079"/>
      <c r="P1657" s="1079"/>
      <c r="Q1657" s="1079"/>
      <c r="R1657" s="1079"/>
      <c r="S1657" s="1079"/>
      <c r="T1657" s="1079"/>
      <c r="U1657" s="1079"/>
      <c r="V1657" s="1079"/>
      <c r="W1657" s="1079">
        <v>13.1</v>
      </c>
      <c r="X1657" s="1079">
        <v>4.5999999999999996</v>
      </c>
      <c r="Y1657" s="1079">
        <v>11.95</v>
      </c>
      <c r="Z1657" s="1079">
        <v>2.89</v>
      </c>
      <c r="AA1657" s="1079">
        <v>16.850000000000001</v>
      </c>
      <c r="AB1657" s="1079">
        <v>6.03</v>
      </c>
      <c r="AC1657" s="1079">
        <v>15.47</v>
      </c>
      <c r="AD1657" s="1080">
        <v>3.72</v>
      </c>
    </row>
    <row r="1658" spans="1:30" x14ac:dyDescent="0.2">
      <c r="A1658">
        <f t="shared" si="59"/>
        <v>45</v>
      </c>
      <c r="B1658">
        <v>1649</v>
      </c>
      <c r="C1658" s="1078">
        <v>3</v>
      </c>
      <c r="D1658" s="1077" t="s">
        <v>3603</v>
      </c>
      <c r="E1658" s="1077" t="s">
        <v>4725</v>
      </c>
      <c r="F1658" s="1079">
        <v>1</v>
      </c>
      <c r="G1658" s="1079"/>
      <c r="H1658" s="1079"/>
      <c r="I1658" s="1079"/>
      <c r="J1658" s="1079"/>
      <c r="K1658" s="1079"/>
      <c r="L1658" s="1079"/>
      <c r="M1658" s="1079"/>
      <c r="N1658" s="1079"/>
      <c r="O1658" s="1079"/>
      <c r="P1658" s="1079"/>
      <c r="Q1658" s="1079"/>
      <c r="R1658" s="1079"/>
      <c r="S1658" s="1079"/>
      <c r="T1658" s="1079"/>
      <c r="U1658" s="1079"/>
      <c r="V1658" s="1079"/>
      <c r="W1658" s="1079">
        <v>17.18</v>
      </c>
      <c r="X1658" s="1079">
        <v>4.5199999999999996</v>
      </c>
      <c r="Y1658" s="1079">
        <v>16.03</v>
      </c>
      <c r="Z1658" s="1079">
        <v>3.01</v>
      </c>
      <c r="AA1658" s="1079">
        <v>22.58</v>
      </c>
      <c r="AB1658" s="1079">
        <v>5.89</v>
      </c>
      <c r="AC1658" s="1079">
        <v>20.79</v>
      </c>
      <c r="AD1658" s="1080">
        <v>3.82</v>
      </c>
    </row>
    <row r="1659" spans="1:30" x14ac:dyDescent="0.2">
      <c r="A1659">
        <f t="shared" si="59"/>
        <v>45</v>
      </c>
      <c r="B1659">
        <v>1650</v>
      </c>
      <c r="C1659" s="1078">
        <v>3</v>
      </c>
      <c r="D1659" s="1077" t="s">
        <v>3603</v>
      </c>
      <c r="E1659" s="1077" t="s">
        <v>4726</v>
      </c>
      <c r="F1659" s="1079">
        <v>4</v>
      </c>
      <c r="G1659" s="1079"/>
      <c r="H1659" s="1079"/>
      <c r="I1659" s="1079"/>
      <c r="J1659" s="1079"/>
      <c r="K1659" s="1079"/>
      <c r="L1659" s="1079"/>
      <c r="M1659" s="1079"/>
      <c r="N1659" s="1079"/>
      <c r="O1659" s="1079"/>
      <c r="P1659" s="1079"/>
      <c r="Q1659" s="1079"/>
      <c r="R1659" s="1079"/>
      <c r="S1659" s="1079"/>
      <c r="T1659" s="1079"/>
      <c r="U1659" s="1079"/>
      <c r="V1659" s="1079"/>
      <c r="W1659" s="1079">
        <v>8.64</v>
      </c>
      <c r="X1659" s="1079">
        <v>4.7</v>
      </c>
      <c r="Y1659" s="1079">
        <v>8.09</v>
      </c>
      <c r="Z1659" s="1079">
        <v>2.73</v>
      </c>
      <c r="AA1659" s="1079">
        <v>11.12</v>
      </c>
      <c r="AB1659" s="1079">
        <v>6.35</v>
      </c>
      <c r="AC1659" s="1079">
        <v>10.3</v>
      </c>
      <c r="AD1659" s="1080">
        <v>3.58</v>
      </c>
    </row>
    <row r="1660" spans="1:30" x14ac:dyDescent="0.2">
      <c r="A1660">
        <f t="shared" si="59"/>
        <v>45</v>
      </c>
      <c r="B1660">
        <v>1651</v>
      </c>
      <c r="C1660" s="1078">
        <v>3</v>
      </c>
      <c r="D1660" s="1077" t="s">
        <v>3603</v>
      </c>
      <c r="E1660" s="1077" t="s">
        <v>4727</v>
      </c>
      <c r="F1660" s="1079">
        <v>4</v>
      </c>
      <c r="G1660" s="1079"/>
      <c r="H1660" s="1079"/>
      <c r="I1660" s="1079"/>
      <c r="J1660" s="1079"/>
      <c r="K1660" s="1079"/>
      <c r="L1660" s="1079"/>
      <c r="M1660" s="1079"/>
      <c r="N1660" s="1079"/>
      <c r="O1660" s="1079"/>
      <c r="P1660" s="1079"/>
      <c r="Q1660" s="1079"/>
      <c r="R1660" s="1079"/>
      <c r="S1660" s="1079"/>
      <c r="T1660" s="1079"/>
      <c r="U1660" s="1079"/>
      <c r="V1660" s="1079"/>
      <c r="W1660" s="1079">
        <v>11.37</v>
      </c>
      <c r="X1660" s="1079">
        <v>4.8</v>
      </c>
      <c r="Y1660" s="1079">
        <v>10.83</v>
      </c>
      <c r="Z1660" s="1079">
        <v>2.9</v>
      </c>
      <c r="AA1660" s="1079">
        <v>14.5</v>
      </c>
      <c r="AB1660" s="1079">
        <v>6.37</v>
      </c>
      <c r="AC1660" s="1079">
        <v>13.43</v>
      </c>
      <c r="AD1660" s="1080">
        <v>3.61</v>
      </c>
    </row>
    <row r="1661" spans="1:30" x14ac:dyDescent="0.2">
      <c r="A1661">
        <f t="shared" si="59"/>
        <v>45</v>
      </c>
      <c r="B1661">
        <v>1652</v>
      </c>
      <c r="C1661" s="1078">
        <v>3</v>
      </c>
      <c r="D1661" s="1077" t="s">
        <v>3603</v>
      </c>
      <c r="E1661" s="1077" t="s">
        <v>4728</v>
      </c>
      <c r="F1661" s="1079">
        <v>4</v>
      </c>
      <c r="G1661" s="1079"/>
      <c r="H1661" s="1079"/>
      <c r="I1661" s="1079"/>
      <c r="J1661" s="1079"/>
      <c r="K1661" s="1079"/>
      <c r="L1661" s="1079"/>
      <c r="M1661" s="1079"/>
      <c r="N1661" s="1079"/>
      <c r="O1661" s="1079"/>
      <c r="P1661" s="1079"/>
      <c r="Q1661" s="1079"/>
      <c r="R1661" s="1079"/>
      <c r="S1661" s="1079"/>
      <c r="T1661" s="1079"/>
      <c r="U1661" s="1079"/>
      <c r="V1661" s="1079"/>
      <c r="W1661" s="1079">
        <v>15.85</v>
      </c>
      <c r="X1661" s="1079">
        <v>5</v>
      </c>
      <c r="Y1661" s="1079">
        <v>15.28</v>
      </c>
      <c r="Z1661" s="1079">
        <v>2.96</v>
      </c>
      <c r="AA1661" s="1079">
        <v>20.07</v>
      </c>
      <c r="AB1661" s="1079">
        <v>6.59</v>
      </c>
      <c r="AC1661" s="1079">
        <v>19.09</v>
      </c>
      <c r="AD1661" s="1080">
        <v>3.68</v>
      </c>
    </row>
    <row r="1662" spans="1:30" x14ac:dyDescent="0.2">
      <c r="A1662">
        <f t="shared" si="59"/>
        <v>45</v>
      </c>
      <c r="B1662">
        <v>1653</v>
      </c>
      <c r="C1662" s="1078">
        <v>2</v>
      </c>
      <c r="D1662" s="1077" t="s">
        <v>3603</v>
      </c>
      <c r="E1662" s="1077" t="s">
        <v>5602</v>
      </c>
      <c r="F1662" s="1079">
        <v>4</v>
      </c>
      <c r="G1662" s="1079">
        <v>3.02</v>
      </c>
      <c r="H1662" s="1079">
        <v>2.4300000000000002</v>
      </c>
      <c r="I1662" s="1079">
        <v>3.83</v>
      </c>
      <c r="J1662" s="1079">
        <v>3</v>
      </c>
      <c r="K1662" s="1079">
        <v>4.46</v>
      </c>
      <c r="L1662" s="1079">
        <v>3.77</v>
      </c>
      <c r="M1662" s="1079">
        <v>4</v>
      </c>
      <c r="N1662" s="1079">
        <v>4.97</v>
      </c>
      <c r="O1662" s="1079">
        <v>8.2799999999999994</v>
      </c>
      <c r="P1662" s="1079">
        <v>7.97</v>
      </c>
      <c r="Q1662" s="1079">
        <v>3.52</v>
      </c>
      <c r="R1662" s="1079">
        <v>2.16</v>
      </c>
      <c r="S1662" s="1079">
        <v>5.36</v>
      </c>
      <c r="T1662" s="1079">
        <v>2.97</v>
      </c>
      <c r="U1662" s="1079">
        <v>7.89</v>
      </c>
      <c r="V1662" s="1079">
        <v>4.3899999999999997</v>
      </c>
      <c r="W1662" s="1079"/>
      <c r="X1662" s="1079"/>
      <c r="Y1662" s="1079"/>
      <c r="Z1662" s="1079"/>
      <c r="AA1662" s="1079"/>
      <c r="AB1662" s="1079"/>
      <c r="AC1662" s="1079"/>
      <c r="AD1662" s="1080"/>
    </row>
    <row r="1663" spans="1:30" x14ac:dyDescent="0.2">
      <c r="A1663">
        <f t="shared" si="59"/>
        <v>45</v>
      </c>
      <c r="B1663">
        <v>1654</v>
      </c>
      <c r="C1663" s="1078">
        <v>2</v>
      </c>
      <c r="D1663" s="1077" t="s">
        <v>3603</v>
      </c>
      <c r="E1663" s="1077" t="s">
        <v>5603</v>
      </c>
      <c r="F1663" s="1079">
        <v>4</v>
      </c>
      <c r="G1663" s="1079">
        <v>4.4000000000000004</v>
      </c>
      <c r="H1663" s="1079">
        <v>2.3199999999999998</v>
      </c>
      <c r="I1663" s="1079">
        <v>5.6</v>
      </c>
      <c r="J1663" s="1079">
        <v>2.81</v>
      </c>
      <c r="K1663" s="1079">
        <v>5.97</v>
      </c>
      <c r="L1663" s="1079">
        <v>3.8</v>
      </c>
      <c r="M1663" s="1079">
        <v>6</v>
      </c>
      <c r="N1663" s="1079">
        <v>4.9000000000000004</v>
      </c>
      <c r="O1663" s="1079">
        <v>11.45</v>
      </c>
      <c r="P1663" s="1079">
        <v>7.32</v>
      </c>
      <c r="Q1663" s="1079">
        <v>5.16</v>
      </c>
      <c r="R1663" s="1079">
        <v>2.1</v>
      </c>
      <c r="S1663" s="1079">
        <v>7.16</v>
      </c>
      <c r="T1663" s="1079">
        <v>3.01</v>
      </c>
      <c r="U1663" s="1079">
        <v>11.2</v>
      </c>
      <c r="V1663" s="1079">
        <v>4.41</v>
      </c>
      <c r="W1663" s="1079"/>
      <c r="X1663" s="1079"/>
      <c r="Y1663" s="1079"/>
      <c r="Z1663" s="1079"/>
      <c r="AA1663" s="1079"/>
      <c r="AB1663" s="1079"/>
      <c r="AC1663" s="1079"/>
      <c r="AD1663" s="1080"/>
    </row>
    <row r="1664" spans="1:30" x14ac:dyDescent="0.2">
      <c r="A1664">
        <f t="shared" si="59"/>
        <v>45</v>
      </c>
      <c r="B1664">
        <v>1655</v>
      </c>
      <c r="C1664" s="1078">
        <v>2</v>
      </c>
      <c r="D1664" s="1077" t="s">
        <v>3603</v>
      </c>
      <c r="E1664" s="1077" t="s">
        <v>5604</v>
      </c>
      <c r="F1664" s="1079">
        <v>4</v>
      </c>
      <c r="G1664" s="1079">
        <v>5.23</v>
      </c>
      <c r="H1664" s="1079">
        <v>2.31</v>
      </c>
      <c r="I1664" s="1079">
        <v>6.5</v>
      </c>
      <c r="J1664" s="1079">
        <v>2.7</v>
      </c>
      <c r="K1664" s="1079">
        <v>6.79</v>
      </c>
      <c r="L1664" s="1079">
        <v>3.7</v>
      </c>
      <c r="M1664" s="1079">
        <v>8</v>
      </c>
      <c r="N1664" s="1079">
        <v>4.7</v>
      </c>
      <c r="O1664" s="1079">
        <v>12.33</v>
      </c>
      <c r="P1664" s="1079">
        <v>7.17</v>
      </c>
      <c r="Q1664" s="1079">
        <v>6.18</v>
      </c>
      <c r="R1664" s="1079">
        <v>2.02</v>
      </c>
      <c r="S1664" s="1079">
        <v>8.3800000000000008</v>
      </c>
      <c r="T1664" s="1079">
        <v>3.14</v>
      </c>
      <c r="U1664" s="1079">
        <v>11.5</v>
      </c>
      <c r="V1664" s="1079">
        <v>4.5</v>
      </c>
      <c r="W1664" s="1079"/>
      <c r="X1664" s="1079"/>
      <c r="Y1664" s="1079"/>
      <c r="Z1664" s="1079"/>
      <c r="AA1664" s="1079"/>
      <c r="AB1664" s="1079"/>
      <c r="AC1664" s="1079"/>
      <c r="AD1664" s="1080"/>
    </row>
    <row r="1665" spans="1:30" x14ac:dyDescent="0.2">
      <c r="A1665">
        <f t="shared" si="59"/>
        <v>45</v>
      </c>
      <c r="B1665">
        <v>1656</v>
      </c>
      <c r="C1665" s="1078">
        <v>2</v>
      </c>
      <c r="D1665" s="1077" t="s">
        <v>3603</v>
      </c>
      <c r="E1665" s="1077" t="s">
        <v>5605</v>
      </c>
      <c r="F1665" s="1079">
        <v>4</v>
      </c>
      <c r="G1665" s="1079">
        <v>7.72</v>
      </c>
      <c r="H1665" s="1079">
        <v>2.39</v>
      </c>
      <c r="I1665" s="1079">
        <v>9.6999999999999993</v>
      </c>
      <c r="J1665" s="1079">
        <v>3</v>
      </c>
      <c r="K1665" s="1079">
        <v>10.97</v>
      </c>
      <c r="L1665" s="1079">
        <v>4.0999999999999996</v>
      </c>
      <c r="M1665" s="1079">
        <v>11.95</v>
      </c>
      <c r="N1665" s="1079">
        <v>5</v>
      </c>
      <c r="O1665" s="1079">
        <v>20.73</v>
      </c>
      <c r="P1665" s="1079">
        <v>7.7</v>
      </c>
      <c r="Q1665" s="1079">
        <v>9.18</v>
      </c>
      <c r="R1665" s="1079">
        <v>1.92</v>
      </c>
      <c r="S1665" s="1079">
        <v>11.86</v>
      </c>
      <c r="T1665" s="1079">
        <v>2.67</v>
      </c>
      <c r="U1665" s="1079">
        <v>19.690000000000001</v>
      </c>
      <c r="V1665" s="1079">
        <v>4.08</v>
      </c>
      <c r="W1665" s="1079"/>
      <c r="X1665" s="1079"/>
      <c r="Y1665" s="1079"/>
      <c r="Z1665" s="1079"/>
      <c r="AA1665" s="1079"/>
      <c r="AB1665" s="1079"/>
      <c r="AC1665" s="1079"/>
      <c r="AD1665" s="1080"/>
    </row>
    <row r="1666" spans="1:30" x14ac:dyDescent="0.2">
      <c r="A1666">
        <f t="shared" si="59"/>
        <v>45</v>
      </c>
      <c r="B1666">
        <v>1657</v>
      </c>
      <c r="C1666" s="1078">
        <v>2</v>
      </c>
      <c r="D1666" s="1077" t="s">
        <v>3603</v>
      </c>
      <c r="E1666" s="1077" t="s">
        <v>5606</v>
      </c>
      <c r="F1666" s="1079">
        <v>4</v>
      </c>
      <c r="G1666" s="1079">
        <v>8.9</v>
      </c>
      <c r="H1666" s="1079">
        <v>3.27</v>
      </c>
      <c r="I1666" s="1079">
        <v>11.13</v>
      </c>
      <c r="J1666" s="1079">
        <v>2.8</v>
      </c>
      <c r="K1666" s="1079">
        <v>12.34</v>
      </c>
      <c r="L1666" s="1079">
        <v>3.8</v>
      </c>
      <c r="M1666" s="1079">
        <v>13.4</v>
      </c>
      <c r="N1666" s="1079">
        <v>4.9000000000000004</v>
      </c>
      <c r="O1666" s="1079">
        <v>22.63</v>
      </c>
      <c r="P1666" s="1079">
        <v>7.35</v>
      </c>
      <c r="Q1666" s="1079">
        <v>10.6</v>
      </c>
      <c r="R1666" s="1079">
        <v>2.0699999999999998</v>
      </c>
      <c r="S1666" s="1079">
        <v>13.33</v>
      </c>
      <c r="T1666" s="1079">
        <v>3.06</v>
      </c>
      <c r="U1666" s="1079">
        <v>20.65</v>
      </c>
      <c r="V1666" s="1079">
        <v>4.32</v>
      </c>
      <c r="W1666" s="1079"/>
      <c r="X1666" s="1079"/>
      <c r="Y1666" s="1079"/>
      <c r="Z1666" s="1079"/>
      <c r="AA1666" s="1079"/>
      <c r="AB1666" s="1079"/>
      <c r="AC1666" s="1079"/>
      <c r="AD1666" s="1080"/>
    </row>
    <row r="1667" spans="1:30" x14ac:dyDescent="0.2">
      <c r="A1667">
        <f t="shared" si="59"/>
        <v>45</v>
      </c>
      <c r="B1667">
        <v>1658</v>
      </c>
      <c r="C1667" s="1078">
        <v>2</v>
      </c>
      <c r="D1667" s="1077" t="s">
        <v>3603</v>
      </c>
      <c r="E1667" s="1077" t="s">
        <v>5607</v>
      </c>
      <c r="F1667" s="1079">
        <v>4</v>
      </c>
      <c r="G1667" s="1079">
        <v>9.74</v>
      </c>
      <c r="H1667" s="1079">
        <v>2.39</v>
      </c>
      <c r="I1667" s="1079">
        <v>12.39</v>
      </c>
      <c r="J1667" s="1079">
        <v>2.82</v>
      </c>
      <c r="K1667" s="1079">
        <v>13.7</v>
      </c>
      <c r="L1667" s="1079">
        <v>3.8</v>
      </c>
      <c r="M1667" s="1079">
        <v>14.9</v>
      </c>
      <c r="N1667" s="1079">
        <v>4.9000000000000004</v>
      </c>
      <c r="O1667" s="1079">
        <v>22.24</v>
      </c>
      <c r="P1667" s="1079">
        <v>7.18</v>
      </c>
      <c r="Q1667" s="1079">
        <v>8.9499999999999993</v>
      </c>
      <c r="R1667" s="1079">
        <v>1.93</v>
      </c>
      <c r="S1667" s="1079">
        <v>14.58</v>
      </c>
      <c r="T1667" s="1079">
        <v>3.35</v>
      </c>
      <c r="U1667" s="1079">
        <v>21.59</v>
      </c>
      <c r="V1667" s="1079">
        <v>4.71</v>
      </c>
      <c r="W1667" s="1079"/>
      <c r="X1667" s="1079"/>
      <c r="Y1667" s="1079"/>
      <c r="Z1667" s="1079"/>
      <c r="AA1667" s="1079"/>
      <c r="AB1667" s="1079"/>
      <c r="AC1667" s="1079"/>
      <c r="AD1667" s="1080"/>
    </row>
    <row r="1668" spans="1:30" x14ac:dyDescent="0.2">
      <c r="A1668">
        <f t="shared" si="59"/>
        <v>45</v>
      </c>
      <c r="B1668">
        <v>1659</v>
      </c>
      <c r="C1668" s="1078">
        <v>2</v>
      </c>
      <c r="D1668" s="1077" t="s">
        <v>3603</v>
      </c>
      <c r="E1668" s="1077" t="s">
        <v>5608</v>
      </c>
      <c r="F1668" s="1079">
        <v>4</v>
      </c>
      <c r="G1668" s="1079">
        <v>3.02</v>
      </c>
      <c r="H1668" s="1079">
        <v>2.4300000000000002</v>
      </c>
      <c r="I1668" s="1079">
        <v>3.83</v>
      </c>
      <c r="J1668" s="1079">
        <v>3</v>
      </c>
      <c r="K1668" s="1079">
        <v>4.46</v>
      </c>
      <c r="L1668" s="1079">
        <v>3.77</v>
      </c>
      <c r="M1668" s="1079">
        <v>4</v>
      </c>
      <c r="N1668" s="1079">
        <v>4.97</v>
      </c>
      <c r="O1668" s="1079">
        <v>8.2799999999999994</v>
      </c>
      <c r="P1668" s="1079">
        <v>7.97</v>
      </c>
      <c r="Q1668" s="1079">
        <v>3.52</v>
      </c>
      <c r="R1668" s="1079">
        <v>2.16</v>
      </c>
      <c r="S1668" s="1079">
        <v>5.36</v>
      </c>
      <c r="T1668" s="1079">
        <v>2.97</v>
      </c>
      <c r="U1668" s="1079">
        <v>7.89</v>
      </c>
      <c r="V1668" s="1079">
        <v>4.3899999999999997</v>
      </c>
      <c r="W1668" s="1079"/>
      <c r="X1668" s="1079"/>
      <c r="Y1668" s="1079"/>
      <c r="Z1668" s="1079"/>
      <c r="AA1668" s="1079"/>
      <c r="AB1668" s="1079"/>
      <c r="AC1668" s="1079"/>
      <c r="AD1668" s="1080"/>
    </row>
    <row r="1669" spans="1:30" x14ac:dyDescent="0.2">
      <c r="A1669">
        <f t="shared" si="59"/>
        <v>45</v>
      </c>
      <c r="B1669">
        <v>1660</v>
      </c>
      <c r="C1669" s="1078">
        <v>2</v>
      </c>
      <c r="D1669" s="1077" t="s">
        <v>3603</v>
      </c>
      <c r="E1669" s="1077" t="s">
        <v>5609</v>
      </c>
      <c r="F1669" s="1079">
        <v>4</v>
      </c>
      <c r="G1669" s="1079">
        <v>4.4000000000000004</v>
      </c>
      <c r="H1669" s="1079">
        <v>2.3199999999999998</v>
      </c>
      <c r="I1669" s="1079">
        <v>5.6</v>
      </c>
      <c r="J1669" s="1079">
        <v>2.81</v>
      </c>
      <c r="K1669" s="1079">
        <v>5.97</v>
      </c>
      <c r="L1669" s="1079">
        <v>3.8</v>
      </c>
      <c r="M1669" s="1079">
        <v>6</v>
      </c>
      <c r="N1669" s="1079">
        <v>4.9000000000000004</v>
      </c>
      <c r="O1669" s="1079">
        <v>11.45</v>
      </c>
      <c r="P1669" s="1079">
        <v>7.32</v>
      </c>
      <c r="Q1669" s="1079">
        <v>5.16</v>
      </c>
      <c r="R1669" s="1079">
        <v>2.1</v>
      </c>
      <c r="S1669" s="1079">
        <v>7.16</v>
      </c>
      <c r="T1669" s="1079">
        <v>3.01</v>
      </c>
      <c r="U1669" s="1079">
        <v>11.2</v>
      </c>
      <c r="V1669" s="1079">
        <v>4.41</v>
      </c>
      <c r="W1669" s="1079"/>
      <c r="X1669" s="1079"/>
      <c r="Y1669" s="1079"/>
      <c r="Z1669" s="1079"/>
      <c r="AA1669" s="1079"/>
      <c r="AB1669" s="1079"/>
      <c r="AC1669" s="1079"/>
      <c r="AD1669" s="1080"/>
    </row>
    <row r="1670" spans="1:30" x14ac:dyDescent="0.2">
      <c r="A1670">
        <f t="shared" si="59"/>
        <v>45</v>
      </c>
      <c r="B1670">
        <v>1661</v>
      </c>
      <c r="C1670" s="1078">
        <v>2</v>
      </c>
      <c r="D1670" s="1077" t="s">
        <v>3603</v>
      </c>
      <c r="E1670" s="1077" t="s">
        <v>5610</v>
      </c>
      <c r="F1670" s="1079">
        <v>4</v>
      </c>
      <c r="G1670" s="1079">
        <v>5.23</v>
      </c>
      <c r="H1670" s="1079">
        <v>2.31</v>
      </c>
      <c r="I1670" s="1079">
        <v>6.5</v>
      </c>
      <c r="J1670" s="1079">
        <v>2.7</v>
      </c>
      <c r="K1670" s="1079">
        <v>6.79</v>
      </c>
      <c r="L1670" s="1079">
        <v>3.7</v>
      </c>
      <c r="M1670" s="1079">
        <v>8</v>
      </c>
      <c r="N1670" s="1079">
        <v>4.7</v>
      </c>
      <c r="O1670" s="1079">
        <v>12.33</v>
      </c>
      <c r="P1670" s="1079">
        <v>7.17</v>
      </c>
      <c r="Q1670" s="1079">
        <v>6.18</v>
      </c>
      <c r="R1670" s="1079">
        <v>2.02</v>
      </c>
      <c r="S1670" s="1079">
        <v>8.3800000000000008</v>
      </c>
      <c r="T1670" s="1079">
        <v>3.14</v>
      </c>
      <c r="U1670" s="1079">
        <v>11.5</v>
      </c>
      <c r="V1670" s="1079">
        <v>4.5</v>
      </c>
      <c r="W1670" s="1079"/>
      <c r="X1670" s="1079"/>
      <c r="Y1670" s="1079"/>
      <c r="Z1670" s="1079"/>
      <c r="AA1670" s="1079"/>
      <c r="AB1670" s="1079"/>
      <c r="AC1670" s="1079"/>
      <c r="AD1670" s="1080"/>
    </row>
    <row r="1671" spans="1:30" x14ac:dyDescent="0.2">
      <c r="A1671">
        <f t="shared" si="59"/>
        <v>45</v>
      </c>
      <c r="B1671">
        <v>1662</v>
      </c>
      <c r="C1671" s="1078">
        <v>2</v>
      </c>
      <c r="D1671" s="1077" t="s">
        <v>3603</v>
      </c>
      <c r="E1671" s="1077" t="s">
        <v>5611</v>
      </c>
      <c r="F1671" s="1079">
        <v>4</v>
      </c>
      <c r="G1671" s="1079">
        <v>7.72</v>
      </c>
      <c r="H1671" s="1079">
        <v>2.39</v>
      </c>
      <c r="I1671" s="1079">
        <v>9.6999999999999993</v>
      </c>
      <c r="J1671" s="1079">
        <v>3</v>
      </c>
      <c r="K1671" s="1079">
        <v>10.97</v>
      </c>
      <c r="L1671" s="1079">
        <v>4.0999999999999996</v>
      </c>
      <c r="M1671" s="1079">
        <v>11.95</v>
      </c>
      <c r="N1671" s="1079">
        <v>5</v>
      </c>
      <c r="O1671" s="1079">
        <v>20.73</v>
      </c>
      <c r="P1671" s="1079">
        <v>7.7</v>
      </c>
      <c r="Q1671" s="1079">
        <v>9.18</v>
      </c>
      <c r="R1671" s="1079">
        <v>1.92</v>
      </c>
      <c r="S1671" s="1079">
        <v>11.86</v>
      </c>
      <c r="T1671" s="1079">
        <v>2.67</v>
      </c>
      <c r="U1671" s="1079">
        <v>19.690000000000001</v>
      </c>
      <c r="V1671" s="1079">
        <v>4.08</v>
      </c>
      <c r="W1671" s="1079"/>
      <c r="X1671" s="1079"/>
      <c r="Y1671" s="1079"/>
      <c r="Z1671" s="1079"/>
      <c r="AA1671" s="1079"/>
      <c r="AB1671" s="1079"/>
      <c r="AC1671" s="1079"/>
      <c r="AD1671" s="1080"/>
    </row>
    <row r="1672" spans="1:30" x14ac:dyDescent="0.2">
      <c r="A1672">
        <f t="shared" si="59"/>
        <v>45</v>
      </c>
      <c r="B1672">
        <v>1663</v>
      </c>
      <c r="C1672" s="1078">
        <v>2</v>
      </c>
      <c r="D1672" s="1077" t="s">
        <v>3603</v>
      </c>
      <c r="E1672" s="1077" t="s">
        <v>5612</v>
      </c>
      <c r="F1672" s="1079">
        <v>4</v>
      </c>
      <c r="G1672" s="1079">
        <v>8.9</v>
      </c>
      <c r="H1672" s="1079">
        <v>3.27</v>
      </c>
      <c r="I1672" s="1079">
        <v>11.13</v>
      </c>
      <c r="J1672" s="1079">
        <v>2.8</v>
      </c>
      <c r="K1672" s="1079">
        <v>12.34</v>
      </c>
      <c r="L1672" s="1079">
        <v>3.8</v>
      </c>
      <c r="M1672" s="1079">
        <v>13.4</v>
      </c>
      <c r="N1672" s="1079">
        <v>4.9000000000000004</v>
      </c>
      <c r="O1672" s="1079">
        <v>22.63</v>
      </c>
      <c r="P1672" s="1079">
        <v>7.35</v>
      </c>
      <c r="Q1672" s="1079">
        <v>10.6</v>
      </c>
      <c r="R1672" s="1079">
        <v>2.0699999999999998</v>
      </c>
      <c r="S1672" s="1079">
        <v>13.33</v>
      </c>
      <c r="T1672" s="1079">
        <v>3.06</v>
      </c>
      <c r="U1672" s="1079">
        <v>20.65</v>
      </c>
      <c r="V1672" s="1079">
        <v>4.32</v>
      </c>
      <c r="W1672" s="1079"/>
      <c r="X1672" s="1079"/>
      <c r="Y1672" s="1079"/>
      <c r="Z1672" s="1079"/>
      <c r="AA1672" s="1079"/>
      <c r="AB1672" s="1079"/>
      <c r="AC1672" s="1079"/>
      <c r="AD1672" s="1080"/>
    </row>
    <row r="1673" spans="1:30" x14ac:dyDescent="0.2">
      <c r="A1673">
        <f t="shared" si="59"/>
        <v>45</v>
      </c>
      <c r="B1673">
        <v>1664</v>
      </c>
      <c r="C1673" s="1078">
        <v>2</v>
      </c>
      <c r="D1673" s="1077" t="s">
        <v>3603</v>
      </c>
      <c r="E1673" s="1077" t="s">
        <v>5613</v>
      </c>
      <c r="F1673" s="1079">
        <v>4</v>
      </c>
      <c r="G1673" s="1079">
        <v>9.74</v>
      </c>
      <c r="H1673" s="1079">
        <v>2.39</v>
      </c>
      <c r="I1673" s="1079">
        <v>12.39</v>
      </c>
      <c r="J1673" s="1079">
        <v>2.82</v>
      </c>
      <c r="K1673" s="1079">
        <v>13.7</v>
      </c>
      <c r="L1673" s="1079">
        <v>3.8</v>
      </c>
      <c r="M1673" s="1079">
        <v>14.9</v>
      </c>
      <c r="N1673" s="1079">
        <v>4.9000000000000004</v>
      </c>
      <c r="O1673" s="1079">
        <v>22.24</v>
      </c>
      <c r="P1673" s="1079">
        <v>7.18</v>
      </c>
      <c r="Q1673" s="1079">
        <v>8.9499999999999993</v>
      </c>
      <c r="R1673" s="1079">
        <v>1.93</v>
      </c>
      <c r="S1673" s="1079">
        <v>14.58</v>
      </c>
      <c r="T1673" s="1079">
        <v>3.35</v>
      </c>
      <c r="U1673" s="1079">
        <v>21.59</v>
      </c>
      <c r="V1673" s="1079">
        <v>4.71</v>
      </c>
      <c r="W1673" s="1079"/>
      <c r="X1673" s="1079"/>
      <c r="Y1673" s="1079"/>
      <c r="Z1673" s="1079"/>
      <c r="AA1673" s="1079"/>
      <c r="AB1673" s="1079"/>
      <c r="AC1673" s="1079"/>
      <c r="AD1673" s="1080"/>
    </row>
    <row r="1674" spans="1:30" x14ac:dyDescent="0.2">
      <c r="A1674">
        <f t="shared" si="59"/>
        <v>46</v>
      </c>
      <c r="B1674">
        <v>1665</v>
      </c>
      <c r="C1674" s="1078">
        <v>2</v>
      </c>
      <c r="D1674" s="1077" t="s">
        <v>3604</v>
      </c>
      <c r="E1674" s="1077" t="s">
        <v>4295</v>
      </c>
      <c r="F1674" s="1079" t="s">
        <v>3920</v>
      </c>
      <c r="G1674" s="1079">
        <v>4.5</v>
      </c>
      <c r="H1674" s="1079">
        <v>2.14</v>
      </c>
      <c r="I1674" s="1079">
        <v>5.0999999999999996</v>
      </c>
      <c r="J1674" s="1079">
        <v>2.4900000000000002</v>
      </c>
      <c r="K1674" s="1079">
        <v>4.5999999999999996</v>
      </c>
      <c r="L1674" s="1079">
        <v>3.31</v>
      </c>
      <c r="M1674" s="1079">
        <v>5.8</v>
      </c>
      <c r="N1674" s="1079">
        <v>4.53</v>
      </c>
      <c r="O1674" s="1079"/>
      <c r="P1674" s="1079"/>
      <c r="Q1674" s="1079">
        <v>4.7</v>
      </c>
      <c r="R1674" s="1079">
        <v>1.63</v>
      </c>
      <c r="S1674" s="1079">
        <v>4.8</v>
      </c>
      <c r="T1674" s="1079">
        <v>2.64</v>
      </c>
      <c r="U1674" s="1079">
        <v>5.9</v>
      </c>
      <c r="V1674" s="1079">
        <v>3.1</v>
      </c>
      <c r="W1674" s="1079"/>
      <c r="X1674" s="1079"/>
      <c r="Y1674" s="1079"/>
      <c r="Z1674" s="1079"/>
      <c r="AA1674" s="1079"/>
      <c r="AB1674" s="1079"/>
      <c r="AC1674" s="1079"/>
      <c r="AD1674" s="1080"/>
    </row>
    <row r="1675" spans="1:30" x14ac:dyDescent="0.2">
      <c r="A1675">
        <f t="shared" si="59"/>
        <v>46</v>
      </c>
      <c r="B1675">
        <v>1666</v>
      </c>
      <c r="C1675" s="1078">
        <v>2</v>
      </c>
      <c r="D1675" s="1077" t="s">
        <v>3604</v>
      </c>
      <c r="E1675" s="1077" t="s">
        <v>4296</v>
      </c>
      <c r="F1675" s="1079" t="s">
        <v>3913</v>
      </c>
      <c r="G1675" s="1079">
        <v>3</v>
      </c>
      <c r="H1675" s="1079">
        <v>2.2000000000000002</v>
      </c>
      <c r="I1675" s="1079">
        <v>3.9</v>
      </c>
      <c r="J1675" s="1079">
        <v>2.9</v>
      </c>
      <c r="K1675" s="1079">
        <v>5.0999999999999996</v>
      </c>
      <c r="L1675" s="1079">
        <v>3.8</v>
      </c>
      <c r="M1675" s="1079">
        <v>6.4</v>
      </c>
      <c r="N1675" s="1079">
        <v>4.5999999999999996</v>
      </c>
      <c r="O1675" s="1079"/>
      <c r="P1675" s="1079"/>
      <c r="Q1675" s="1079">
        <v>3.6</v>
      </c>
      <c r="R1675" s="1079">
        <v>1.8</v>
      </c>
      <c r="S1675" s="1079">
        <v>5.7</v>
      </c>
      <c r="T1675" s="1079">
        <v>2.7</v>
      </c>
      <c r="U1675" s="1079">
        <v>7.3</v>
      </c>
      <c r="V1675" s="1079">
        <v>3.4</v>
      </c>
      <c r="W1675" s="1079"/>
      <c r="X1675" s="1079"/>
      <c r="Y1675" s="1079"/>
      <c r="Z1675" s="1079"/>
      <c r="AA1675" s="1079"/>
      <c r="AB1675" s="1079"/>
      <c r="AC1675" s="1079"/>
      <c r="AD1675" s="1080"/>
    </row>
    <row r="1676" spans="1:30" x14ac:dyDescent="0.2">
      <c r="A1676">
        <f t="shared" ref="A1676:A1739" si="60">A1675+(D1676&lt;&gt;D1675)*1</f>
        <v>46</v>
      </c>
      <c r="B1676">
        <v>1667</v>
      </c>
      <c r="C1676" s="1078">
        <v>2</v>
      </c>
      <c r="D1676" s="1077" t="s">
        <v>3604</v>
      </c>
      <c r="E1676" s="1077" t="s">
        <v>4297</v>
      </c>
      <c r="F1676" s="1079" t="s">
        <v>3913</v>
      </c>
      <c r="G1676" s="1079">
        <v>3</v>
      </c>
      <c r="H1676" s="1079">
        <v>2.2000000000000002</v>
      </c>
      <c r="I1676" s="1079">
        <v>4</v>
      </c>
      <c r="J1676" s="1079">
        <v>2.9</v>
      </c>
      <c r="K1676" s="1079">
        <v>5.0999999999999996</v>
      </c>
      <c r="L1676" s="1079">
        <v>3.8</v>
      </c>
      <c r="M1676" s="1079">
        <v>6.4</v>
      </c>
      <c r="N1676" s="1079">
        <v>4.5999999999999996</v>
      </c>
      <c r="O1676" s="1079"/>
      <c r="P1676" s="1079"/>
      <c r="Q1676" s="1079">
        <v>3.6</v>
      </c>
      <c r="R1676" s="1079">
        <v>1.8</v>
      </c>
      <c r="S1676" s="1079">
        <v>5.7</v>
      </c>
      <c r="T1676" s="1079">
        <v>2.7</v>
      </c>
      <c r="U1676" s="1079">
        <v>7.3</v>
      </c>
      <c r="V1676" s="1079">
        <v>3.4</v>
      </c>
      <c r="W1676" s="1079"/>
      <c r="X1676" s="1079"/>
      <c r="Y1676" s="1079"/>
      <c r="Z1676" s="1079"/>
      <c r="AA1676" s="1079"/>
      <c r="AB1676" s="1079"/>
      <c r="AC1676" s="1079"/>
      <c r="AD1676" s="1080"/>
    </row>
    <row r="1677" spans="1:30" x14ac:dyDescent="0.2">
      <c r="A1677">
        <f t="shared" si="60"/>
        <v>46</v>
      </c>
      <c r="B1677">
        <v>1668</v>
      </c>
      <c r="C1677" s="1078">
        <v>2</v>
      </c>
      <c r="D1677" s="1077" t="s">
        <v>3604</v>
      </c>
      <c r="E1677" s="1077" t="s">
        <v>4298</v>
      </c>
      <c r="F1677" s="1079" t="s">
        <v>3913</v>
      </c>
      <c r="G1677" s="1079">
        <v>4.3</v>
      </c>
      <c r="H1677" s="1079">
        <v>2.2999999999999998</v>
      </c>
      <c r="I1677" s="1079">
        <v>5.3</v>
      </c>
      <c r="J1677" s="1079">
        <v>2.8</v>
      </c>
      <c r="K1677" s="1079">
        <v>6.6</v>
      </c>
      <c r="L1677" s="1079">
        <v>3.5</v>
      </c>
      <c r="M1677" s="1079">
        <v>7.7</v>
      </c>
      <c r="N1677" s="1079">
        <v>4</v>
      </c>
      <c r="O1677" s="1079"/>
      <c r="P1677" s="1079"/>
      <c r="Q1677" s="1079">
        <v>4.9000000000000004</v>
      </c>
      <c r="R1677" s="1079">
        <v>1.8</v>
      </c>
      <c r="S1677" s="1079">
        <v>7.1</v>
      </c>
      <c r="T1677" s="1079">
        <v>2.5</v>
      </c>
      <c r="U1677" s="1079">
        <v>10.4</v>
      </c>
      <c r="V1677" s="1079">
        <v>3.6</v>
      </c>
      <c r="W1677" s="1079"/>
      <c r="X1677" s="1079"/>
      <c r="Y1677" s="1079"/>
      <c r="Z1677" s="1079"/>
      <c r="AA1677" s="1079"/>
      <c r="AB1677" s="1079"/>
      <c r="AC1677" s="1079"/>
      <c r="AD1677" s="1080"/>
    </row>
    <row r="1678" spans="1:30" x14ac:dyDescent="0.2">
      <c r="A1678">
        <f t="shared" si="60"/>
        <v>46</v>
      </c>
      <c r="B1678">
        <v>1669</v>
      </c>
      <c r="C1678" s="1078">
        <v>2</v>
      </c>
      <c r="D1678" s="1077" t="s">
        <v>3604</v>
      </c>
      <c r="E1678" s="1077" t="s">
        <v>4299</v>
      </c>
      <c r="F1678" s="1079" t="s">
        <v>3913</v>
      </c>
      <c r="G1678" s="1079">
        <v>4.3</v>
      </c>
      <c r="H1678" s="1079">
        <v>2.2999999999999998</v>
      </c>
      <c r="I1678" s="1079">
        <v>5.3</v>
      </c>
      <c r="J1678" s="1079">
        <v>2.8</v>
      </c>
      <c r="K1678" s="1079">
        <v>6.6</v>
      </c>
      <c r="L1678" s="1079">
        <v>3.5</v>
      </c>
      <c r="M1678" s="1079">
        <v>7.7</v>
      </c>
      <c r="N1678" s="1079">
        <v>4</v>
      </c>
      <c r="O1678" s="1079"/>
      <c r="P1678" s="1079"/>
      <c r="Q1678" s="1079">
        <v>4.9000000000000004</v>
      </c>
      <c r="R1678" s="1079">
        <v>1.8</v>
      </c>
      <c r="S1678" s="1079">
        <v>7.1</v>
      </c>
      <c r="T1678" s="1079">
        <v>2.5</v>
      </c>
      <c r="U1678" s="1079">
        <v>10.4</v>
      </c>
      <c r="V1678" s="1079">
        <v>3.6</v>
      </c>
      <c r="W1678" s="1079"/>
      <c r="X1678" s="1079"/>
      <c r="Y1678" s="1079"/>
      <c r="Z1678" s="1079"/>
      <c r="AA1678" s="1079"/>
      <c r="AB1678" s="1079"/>
      <c r="AC1678" s="1079"/>
      <c r="AD1678" s="1080"/>
    </row>
    <row r="1679" spans="1:30" x14ac:dyDescent="0.2">
      <c r="A1679">
        <f t="shared" si="60"/>
        <v>46</v>
      </c>
      <c r="B1679">
        <v>1670</v>
      </c>
      <c r="C1679" s="1078">
        <v>2</v>
      </c>
      <c r="D1679" s="1077" t="s">
        <v>3604</v>
      </c>
      <c r="E1679" s="1077" t="s">
        <v>4300</v>
      </c>
      <c r="F1679" s="1079" t="s">
        <v>3913</v>
      </c>
      <c r="G1679" s="1079">
        <v>4.2</v>
      </c>
      <c r="H1679" s="1079">
        <v>2.4</v>
      </c>
      <c r="I1679" s="1079">
        <v>5.4</v>
      </c>
      <c r="J1679" s="1079">
        <v>3</v>
      </c>
      <c r="K1679" s="1079">
        <v>6.8</v>
      </c>
      <c r="L1679" s="1079">
        <v>3.9</v>
      </c>
      <c r="M1679" s="1079">
        <v>8.5</v>
      </c>
      <c r="N1679" s="1079">
        <v>4.7</v>
      </c>
      <c r="O1679" s="1079"/>
      <c r="P1679" s="1079"/>
      <c r="Q1679" s="1079">
        <v>5</v>
      </c>
      <c r="R1679" s="1079">
        <v>1.9</v>
      </c>
      <c r="S1679" s="1079">
        <v>7.5</v>
      </c>
      <c r="T1679" s="1079">
        <v>2.9</v>
      </c>
      <c r="U1679" s="1079">
        <v>9.6</v>
      </c>
      <c r="V1679" s="1079">
        <v>3.5</v>
      </c>
      <c r="W1679" s="1079"/>
      <c r="X1679" s="1079"/>
      <c r="Y1679" s="1079"/>
      <c r="Z1679" s="1079"/>
      <c r="AA1679" s="1079"/>
      <c r="AB1679" s="1079"/>
      <c r="AC1679" s="1079"/>
      <c r="AD1679" s="1080"/>
    </row>
    <row r="1680" spans="1:30" x14ac:dyDescent="0.2">
      <c r="A1680">
        <f t="shared" si="60"/>
        <v>46</v>
      </c>
      <c r="B1680">
        <v>1671</v>
      </c>
      <c r="C1680" s="1078">
        <v>2</v>
      </c>
      <c r="D1680" s="1077" t="s">
        <v>3604</v>
      </c>
      <c r="E1680" s="1077" t="s">
        <v>4301</v>
      </c>
      <c r="F1680" s="1079" t="s">
        <v>3913</v>
      </c>
      <c r="G1680" s="1079">
        <v>4.2</v>
      </c>
      <c r="H1680" s="1079">
        <v>2.4</v>
      </c>
      <c r="I1680" s="1079">
        <v>5.4</v>
      </c>
      <c r="J1680" s="1079">
        <v>3</v>
      </c>
      <c r="K1680" s="1079">
        <v>6.8</v>
      </c>
      <c r="L1680" s="1079">
        <v>3.9</v>
      </c>
      <c r="M1680" s="1079">
        <v>8.5</v>
      </c>
      <c r="N1680" s="1079">
        <v>4.7</v>
      </c>
      <c r="O1680" s="1079"/>
      <c r="P1680" s="1079"/>
      <c r="Q1680" s="1079">
        <v>5</v>
      </c>
      <c r="R1680" s="1079">
        <v>1.9</v>
      </c>
      <c r="S1680" s="1079">
        <v>7.5</v>
      </c>
      <c r="T1680" s="1079">
        <v>2.9</v>
      </c>
      <c r="U1680" s="1079">
        <v>9.6</v>
      </c>
      <c r="V1680" s="1079">
        <v>3.5</v>
      </c>
      <c r="W1680" s="1079"/>
      <c r="X1680" s="1079"/>
      <c r="Y1680" s="1079"/>
      <c r="Z1680" s="1079"/>
      <c r="AA1680" s="1079"/>
      <c r="AB1680" s="1079"/>
      <c r="AC1680" s="1079"/>
      <c r="AD1680" s="1080"/>
    </row>
    <row r="1681" spans="1:30" x14ac:dyDescent="0.2">
      <c r="A1681">
        <f t="shared" si="60"/>
        <v>46</v>
      </c>
      <c r="B1681">
        <v>1672</v>
      </c>
      <c r="C1681" s="1078">
        <v>2</v>
      </c>
      <c r="D1681" s="1077" t="s">
        <v>3604</v>
      </c>
      <c r="E1681" s="1077" t="s">
        <v>4302</v>
      </c>
      <c r="F1681" s="1079" t="s">
        <v>3920</v>
      </c>
      <c r="G1681" s="1079">
        <v>7.6</v>
      </c>
      <c r="H1681" s="1079">
        <v>2.1</v>
      </c>
      <c r="I1681" s="1079">
        <v>8.6999999999999993</v>
      </c>
      <c r="J1681" s="1079">
        <v>2.4</v>
      </c>
      <c r="K1681" s="1079">
        <v>6.9</v>
      </c>
      <c r="L1681" s="1079">
        <v>3.5</v>
      </c>
      <c r="M1681" s="1079">
        <v>10</v>
      </c>
      <c r="N1681" s="1079">
        <v>4.4000000000000004</v>
      </c>
      <c r="O1681" s="1079"/>
      <c r="P1681" s="1079"/>
      <c r="Q1681" s="1079">
        <v>7.4</v>
      </c>
      <c r="R1681" s="1079">
        <v>1.7</v>
      </c>
      <c r="S1681" s="1079">
        <v>9</v>
      </c>
      <c r="T1681" s="1079">
        <v>2.7</v>
      </c>
      <c r="U1681" s="1079">
        <v>11.6</v>
      </c>
      <c r="V1681" s="1079">
        <v>3.1</v>
      </c>
      <c r="W1681" s="1079"/>
      <c r="X1681" s="1079"/>
      <c r="Y1681" s="1079"/>
      <c r="Z1681" s="1079"/>
      <c r="AA1681" s="1079"/>
      <c r="AB1681" s="1079"/>
      <c r="AC1681" s="1079"/>
      <c r="AD1681" s="1080"/>
    </row>
    <row r="1682" spans="1:30" x14ac:dyDescent="0.2">
      <c r="A1682">
        <f t="shared" si="60"/>
        <v>46</v>
      </c>
      <c r="B1682">
        <v>1673</v>
      </c>
      <c r="C1682" s="1078">
        <v>2</v>
      </c>
      <c r="D1682" s="1077" t="s">
        <v>3604</v>
      </c>
      <c r="E1682" s="1077" t="s">
        <v>4303</v>
      </c>
      <c r="F1682" s="1079" t="s">
        <v>3913</v>
      </c>
      <c r="G1682" s="1079">
        <v>4</v>
      </c>
      <c r="H1682" s="1079">
        <v>2.2999999999999998</v>
      </c>
      <c r="I1682" s="1079">
        <v>5.5</v>
      </c>
      <c r="J1682" s="1079">
        <v>2.8</v>
      </c>
      <c r="K1682" s="1079">
        <v>7.6</v>
      </c>
      <c r="L1682" s="1079">
        <v>3.7</v>
      </c>
      <c r="M1682" s="1079">
        <v>9.6</v>
      </c>
      <c r="N1682" s="1079">
        <v>4.3</v>
      </c>
      <c r="O1682" s="1079"/>
      <c r="P1682" s="1079"/>
      <c r="Q1682" s="1079">
        <v>3.9</v>
      </c>
      <c r="R1682" s="1079">
        <v>1.9</v>
      </c>
      <c r="S1682" s="1079">
        <v>7.2</v>
      </c>
      <c r="T1682" s="1079">
        <v>2.7</v>
      </c>
      <c r="U1682" s="1079">
        <v>9.9</v>
      </c>
      <c r="V1682" s="1079">
        <v>3.4</v>
      </c>
      <c r="W1682" s="1079"/>
      <c r="X1682" s="1079"/>
      <c r="Y1682" s="1079"/>
      <c r="Z1682" s="1079"/>
      <c r="AA1682" s="1079"/>
      <c r="AB1682" s="1079"/>
      <c r="AC1682" s="1079"/>
      <c r="AD1682" s="1080"/>
    </row>
    <row r="1683" spans="1:30" x14ac:dyDescent="0.2">
      <c r="A1683">
        <f t="shared" si="60"/>
        <v>46</v>
      </c>
      <c r="B1683">
        <v>1674</v>
      </c>
      <c r="C1683" s="1078">
        <v>2</v>
      </c>
      <c r="D1683" s="1077" t="s">
        <v>3604</v>
      </c>
      <c r="E1683" s="1077" t="s">
        <v>4304</v>
      </c>
      <c r="F1683" s="1079" t="s">
        <v>3913</v>
      </c>
      <c r="G1683" s="1079">
        <v>4</v>
      </c>
      <c r="H1683" s="1079">
        <v>2.2999999999999998</v>
      </c>
      <c r="I1683" s="1079">
        <v>5.5</v>
      </c>
      <c r="J1683" s="1079">
        <v>2.8</v>
      </c>
      <c r="K1683" s="1079">
        <v>7.6</v>
      </c>
      <c r="L1683" s="1079">
        <v>3.7</v>
      </c>
      <c r="M1683" s="1079">
        <v>9.6</v>
      </c>
      <c r="N1683" s="1079">
        <v>4.3</v>
      </c>
      <c r="O1683" s="1079"/>
      <c r="P1683" s="1079"/>
      <c r="Q1683" s="1079">
        <v>3.9</v>
      </c>
      <c r="R1683" s="1079">
        <v>1.9</v>
      </c>
      <c r="S1683" s="1079">
        <v>7.2</v>
      </c>
      <c r="T1683" s="1079">
        <v>2.7</v>
      </c>
      <c r="U1683" s="1079">
        <v>9.9</v>
      </c>
      <c r="V1683" s="1079">
        <v>3.4</v>
      </c>
      <c r="W1683" s="1079"/>
      <c r="X1683" s="1079"/>
      <c r="Y1683" s="1079"/>
      <c r="Z1683" s="1079"/>
      <c r="AA1683" s="1079"/>
      <c r="AB1683" s="1079"/>
      <c r="AC1683" s="1079"/>
      <c r="AD1683" s="1080"/>
    </row>
    <row r="1684" spans="1:30" x14ac:dyDescent="0.2">
      <c r="A1684">
        <f t="shared" si="60"/>
        <v>46</v>
      </c>
      <c r="B1684">
        <v>1675</v>
      </c>
      <c r="C1684" s="1078">
        <v>2</v>
      </c>
      <c r="D1684" s="1077" t="s">
        <v>3604</v>
      </c>
      <c r="E1684" s="1077" t="s">
        <v>4305</v>
      </c>
      <c r="F1684" s="1079" t="s">
        <v>3920</v>
      </c>
      <c r="G1684" s="1079">
        <v>9</v>
      </c>
      <c r="H1684" s="1079">
        <v>2.1800000000000002</v>
      </c>
      <c r="I1684" s="1079">
        <v>10.3</v>
      </c>
      <c r="J1684" s="1079">
        <v>2.57</v>
      </c>
      <c r="K1684" s="1079">
        <v>8.4</v>
      </c>
      <c r="L1684" s="1079">
        <v>3.65</v>
      </c>
      <c r="M1684" s="1079">
        <v>12.5</v>
      </c>
      <c r="N1684" s="1079">
        <v>4.63</v>
      </c>
      <c r="O1684" s="1079"/>
      <c r="P1684" s="1079"/>
      <c r="Q1684" s="1079">
        <v>9.5</v>
      </c>
      <c r="R1684" s="1079">
        <v>1.68</v>
      </c>
      <c r="S1684" s="1079">
        <v>10.5</v>
      </c>
      <c r="T1684" s="1079">
        <v>2.79</v>
      </c>
      <c r="U1684" s="1079">
        <v>13.1</v>
      </c>
      <c r="V1684" s="1079">
        <v>3.4</v>
      </c>
      <c r="W1684" s="1079"/>
      <c r="X1684" s="1079"/>
      <c r="Y1684" s="1079"/>
      <c r="Z1684" s="1079"/>
      <c r="AA1684" s="1079"/>
      <c r="AB1684" s="1079"/>
      <c r="AC1684" s="1079"/>
      <c r="AD1684" s="1080"/>
    </row>
    <row r="1685" spans="1:30" x14ac:dyDescent="0.2">
      <c r="A1685">
        <f t="shared" si="60"/>
        <v>46</v>
      </c>
      <c r="B1685">
        <v>1676</v>
      </c>
      <c r="C1685" s="1078">
        <v>2</v>
      </c>
      <c r="D1685" s="1077" t="s">
        <v>3604</v>
      </c>
      <c r="E1685" s="1077" t="s">
        <v>4306</v>
      </c>
      <c r="F1685" s="1079" t="s">
        <v>3913</v>
      </c>
      <c r="G1685" s="1079">
        <v>6.2</v>
      </c>
      <c r="H1685" s="1079">
        <v>2.2000000000000002</v>
      </c>
      <c r="I1685" s="1079">
        <v>7.9</v>
      </c>
      <c r="J1685" s="1079">
        <v>2.8</v>
      </c>
      <c r="K1685" s="1079">
        <v>9.4</v>
      </c>
      <c r="L1685" s="1079">
        <v>3.7</v>
      </c>
      <c r="M1685" s="1079">
        <v>11.2</v>
      </c>
      <c r="N1685" s="1079">
        <v>4.4000000000000004</v>
      </c>
      <c r="O1685" s="1079"/>
      <c r="P1685" s="1079"/>
      <c r="Q1685" s="1079">
        <v>6.9</v>
      </c>
      <c r="R1685" s="1079">
        <v>1.6</v>
      </c>
      <c r="S1685" s="1079">
        <v>9.3000000000000007</v>
      </c>
      <c r="T1685" s="1079">
        <v>2.4</v>
      </c>
      <c r="U1685" s="1079">
        <v>12.1</v>
      </c>
      <c r="V1685" s="1079">
        <v>3.1</v>
      </c>
      <c r="W1685" s="1079"/>
      <c r="X1685" s="1079"/>
      <c r="Y1685" s="1079"/>
      <c r="Z1685" s="1079"/>
      <c r="AA1685" s="1079"/>
      <c r="AB1685" s="1079"/>
      <c r="AC1685" s="1079"/>
      <c r="AD1685" s="1080"/>
    </row>
    <row r="1686" spans="1:30" x14ac:dyDescent="0.2">
      <c r="A1686">
        <f t="shared" si="60"/>
        <v>46</v>
      </c>
      <c r="B1686">
        <v>1677</v>
      </c>
      <c r="C1686" s="1078">
        <v>2</v>
      </c>
      <c r="D1686" s="1077" t="s">
        <v>3604</v>
      </c>
      <c r="E1686" s="1077" t="s">
        <v>4307</v>
      </c>
      <c r="F1686" s="1079" t="s">
        <v>3913</v>
      </c>
      <c r="G1686" s="1079">
        <v>5.7</v>
      </c>
      <c r="H1686" s="1079">
        <v>2.6</v>
      </c>
      <c r="I1686" s="1079">
        <v>7.2</v>
      </c>
      <c r="J1686" s="1079">
        <v>3.1</v>
      </c>
      <c r="K1686" s="1079">
        <v>9.4</v>
      </c>
      <c r="L1686" s="1079">
        <v>4.0999999999999996</v>
      </c>
      <c r="M1686" s="1079">
        <v>11.6</v>
      </c>
      <c r="N1686" s="1079">
        <v>4.9000000000000004</v>
      </c>
      <c r="O1686" s="1079"/>
      <c r="P1686" s="1079"/>
      <c r="Q1686" s="1079">
        <v>6.9</v>
      </c>
      <c r="R1686" s="1079">
        <v>2.1</v>
      </c>
      <c r="S1686" s="1079">
        <v>10.6</v>
      </c>
      <c r="T1686" s="1079">
        <v>3.1</v>
      </c>
      <c r="U1686" s="1079">
        <v>12.9</v>
      </c>
      <c r="V1686" s="1079">
        <v>3.6</v>
      </c>
      <c r="W1686" s="1079"/>
      <c r="X1686" s="1079"/>
      <c r="Y1686" s="1079"/>
      <c r="Z1686" s="1079"/>
      <c r="AA1686" s="1079"/>
      <c r="AB1686" s="1079"/>
      <c r="AC1686" s="1079"/>
      <c r="AD1686" s="1080"/>
    </row>
    <row r="1687" spans="1:30" x14ac:dyDescent="0.2">
      <c r="A1687">
        <f t="shared" si="60"/>
        <v>46</v>
      </c>
      <c r="B1687">
        <v>1678</v>
      </c>
      <c r="C1687" s="1078">
        <v>2</v>
      </c>
      <c r="D1687" s="1077" t="s">
        <v>3604</v>
      </c>
      <c r="E1687" s="1077" t="s">
        <v>4308</v>
      </c>
      <c r="F1687" s="1079" t="s">
        <v>3913</v>
      </c>
      <c r="G1687" s="1079">
        <v>6.2</v>
      </c>
      <c r="H1687" s="1079">
        <v>2.2000000000000002</v>
      </c>
      <c r="I1687" s="1079">
        <v>7.9</v>
      </c>
      <c r="J1687" s="1079">
        <v>2.8</v>
      </c>
      <c r="K1687" s="1079">
        <v>9.4</v>
      </c>
      <c r="L1687" s="1079">
        <v>3.7</v>
      </c>
      <c r="M1687" s="1079">
        <v>11.2</v>
      </c>
      <c r="N1687" s="1079">
        <v>4.4000000000000004</v>
      </c>
      <c r="O1687" s="1079"/>
      <c r="P1687" s="1079"/>
      <c r="Q1687" s="1079">
        <v>6.9</v>
      </c>
      <c r="R1687" s="1079">
        <v>1.6</v>
      </c>
      <c r="S1687" s="1079">
        <v>9.3000000000000007</v>
      </c>
      <c r="T1687" s="1079">
        <v>2.4</v>
      </c>
      <c r="U1687" s="1079">
        <v>12.1</v>
      </c>
      <c r="V1687" s="1079">
        <v>3.1</v>
      </c>
      <c r="W1687" s="1079"/>
      <c r="X1687" s="1079"/>
      <c r="Y1687" s="1079"/>
      <c r="Z1687" s="1079"/>
      <c r="AA1687" s="1079"/>
      <c r="AB1687" s="1079"/>
      <c r="AC1687" s="1079"/>
      <c r="AD1687" s="1080"/>
    </row>
    <row r="1688" spans="1:30" x14ac:dyDescent="0.2">
      <c r="A1688">
        <f t="shared" si="60"/>
        <v>46</v>
      </c>
      <c r="B1688">
        <v>1679</v>
      </c>
      <c r="C1688" s="1078">
        <v>2</v>
      </c>
      <c r="D1688" s="1077" t="s">
        <v>3604</v>
      </c>
      <c r="E1688" s="1077" t="s">
        <v>4309</v>
      </c>
      <c r="F1688" s="1079" t="s">
        <v>3913</v>
      </c>
      <c r="G1688" s="1079">
        <v>5.7</v>
      </c>
      <c r="H1688" s="1079">
        <v>2.6</v>
      </c>
      <c r="I1688" s="1079">
        <v>7.2</v>
      </c>
      <c r="J1688" s="1079">
        <v>3.1</v>
      </c>
      <c r="K1688" s="1079">
        <v>9.4</v>
      </c>
      <c r="L1688" s="1079">
        <v>4.0999999999999996</v>
      </c>
      <c r="M1688" s="1079">
        <v>11.6</v>
      </c>
      <c r="N1688" s="1079">
        <v>4.9000000000000004</v>
      </c>
      <c r="O1688" s="1079"/>
      <c r="P1688" s="1079"/>
      <c r="Q1688" s="1079">
        <v>6.94</v>
      </c>
      <c r="R1688" s="1079">
        <v>2.14</v>
      </c>
      <c r="S1688" s="1079">
        <v>10.62</v>
      </c>
      <c r="T1688" s="1079">
        <v>3.06</v>
      </c>
      <c r="U1688" s="1079">
        <v>12.88</v>
      </c>
      <c r="V1688" s="1079">
        <v>3.62</v>
      </c>
      <c r="W1688" s="1079"/>
      <c r="X1688" s="1079"/>
      <c r="Y1688" s="1079"/>
      <c r="Z1688" s="1079"/>
      <c r="AA1688" s="1079"/>
      <c r="AB1688" s="1079"/>
      <c r="AC1688" s="1079"/>
      <c r="AD1688" s="1080"/>
    </row>
    <row r="1689" spans="1:30" x14ac:dyDescent="0.2">
      <c r="A1689">
        <f t="shared" si="60"/>
        <v>46</v>
      </c>
      <c r="B1689">
        <v>1680</v>
      </c>
      <c r="C1689" s="1078">
        <v>2</v>
      </c>
      <c r="D1689" s="1077" t="s">
        <v>3604</v>
      </c>
      <c r="E1689" s="1077" t="s">
        <v>4310</v>
      </c>
      <c r="F1689" s="1079" t="s">
        <v>3920</v>
      </c>
      <c r="G1689" s="1079">
        <v>10.3</v>
      </c>
      <c r="H1689" s="1079">
        <v>2.17</v>
      </c>
      <c r="I1689" s="1079">
        <v>11.8</v>
      </c>
      <c r="J1689" s="1079">
        <v>2.5499999999999998</v>
      </c>
      <c r="K1689" s="1079">
        <v>11.2</v>
      </c>
      <c r="L1689" s="1079">
        <v>3.25</v>
      </c>
      <c r="M1689" s="1079">
        <v>14</v>
      </c>
      <c r="N1689" s="1079">
        <v>4.4400000000000004</v>
      </c>
      <c r="O1689" s="1079"/>
      <c r="P1689" s="1079"/>
      <c r="Q1689" s="1079">
        <v>10.199999999999999</v>
      </c>
      <c r="R1689" s="1079">
        <v>1.67</v>
      </c>
      <c r="S1689" s="1079">
        <v>12</v>
      </c>
      <c r="T1689" s="1079">
        <v>2.76</v>
      </c>
      <c r="U1689" s="1079">
        <v>15</v>
      </c>
      <c r="V1689" s="1079">
        <v>3.4</v>
      </c>
      <c r="W1689" s="1079"/>
      <c r="X1689" s="1079"/>
      <c r="Y1689" s="1079"/>
      <c r="Z1689" s="1079"/>
      <c r="AA1689" s="1079"/>
      <c r="AB1689" s="1079"/>
      <c r="AC1689" s="1079"/>
      <c r="AD1689" s="1080"/>
    </row>
    <row r="1690" spans="1:30" x14ac:dyDescent="0.2">
      <c r="A1690">
        <f t="shared" si="60"/>
        <v>46</v>
      </c>
      <c r="B1690">
        <v>1681</v>
      </c>
      <c r="C1690" s="1078">
        <v>2</v>
      </c>
      <c r="D1690" s="1077" t="s">
        <v>3604</v>
      </c>
      <c r="E1690" s="1077" t="s">
        <v>4311</v>
      </c>
      <c r="F1690" s="1079" t="s">
        <v>3920</v>
      </c>
      <c r="G1690" s="1079">
        <v>11.7</v>
      </c>
      <c r="H1690" s="1079">
        <v>2.12</v>
      </c>
      <c r="I1690" s="1079">
        <v>13.4</v>
      </c>
      <c r="J1690" s="1079">
        <v>2.5</v>
      </c>
      <c r="K1690" s="1079">
        <v>12.5</v>
      </c>
      <c r="L1690" s="1079">
        <v>3.14</v>
      </c>
      <c r="M1690" s="1079">
        <v>16</v>
      </c>
      <c r="N1690" s="1079">
        <v>4.26</v>
      </c>
      <c r="O1690" s="1079"/>
      <c r="P1690" s="1079"/>
      <c r="Q1690" s="1079">
        <v>10.8</v>
      </c>
      <c r="R1690" s="1079">
        <v>1.65</v>
      </c>
      <c r="S1690" s="1079">
        <v>14</v>
      </c>
      <c r="T1690" s="1079">
        <v>2.72</v>
      </c>
      <c r="U1690" s="1079">
        <v>17.899999999999999</v>
      </c>
      <c r="V1690" s="1079">
        <v>3.4</v>
      </c>
      <c r="W1690" s="1079"/>
      <c r="X1690" s="1079"/>
      <c r="Y1690" s="1079"/>
      <c r="Z1690" s="1079"/>
      <c r="AA1690" s="1079"/>
      <c r="AB1690" s="1079"/>
      <c r="AC1690" s="1079"/>
      <c r="AD1690" s="1080"/>
    </row>
    <row r="1691" spans="1:30" x14ac:dyDescent="0.2">
      <c r="A1691">
        <f t="shared" si="60"/>
        <v>46</v>
      </c>
      <c r="B1691">
        <v>1682</v>
      </c>
      <c r="C1691" s="1078">
        <v>2</v>
      </c>
      <c r="D1691" s="1077" t="s">
        <v>3604</v>
      </c>
      <c r="E1691" s="1077" t="s">
        <v>4312</v>
      </c>
      <c r="F1691" s="1079" t="s">
        <v>3914</v>
      </c>
      <c r="G1691" s="1079">
        <v>8.6999999999999993</v>
      </c>
      <c r="H1691" s="1079">
        <v>2.2999999999999998</v>
      </c>
      <c r="I1691" s="1079">
        <v>10.3</v>
      </c>
      <c r="J1691" s="1079">
        <v>2.7</v>
      </c>
      <c r="K1691" s="1079">
        <v>14.7</v>
      </c>
      <c r="L1691" s="1079">
        <v>3.7</v>
      </c>
      <c r="M1691" s="1079">
        <v>19.600000000000001</v>
      </c>
      <c r="N1691" s="1079">
        <v>4.4000000000000004</v>
      </c>
      <c r="O1691" s="1079"/>
      <c r="P1691" s="1079"/>
      <c r="Q1691" s="1079">
        <v>10</v>
      </c>
      <c r="R1691" s="1079">
        <v>1.7</v>
      </c>
      <c r="S1691" s="1079">
        <v>18.8</v>
      </c>
      <c r="T1691" s="1079">
        <v>2.9</v>
      </c>
      <c r="U1691" s="1079">
        <v>22.1</v>
      </c>
      <c r="V1691" s="1079">
        <v>3.4</v>
      </c>
      <c r="W1691" s="1079"/>
      <c r="X1691" s="1079"/>
      <c r="Y1691" s="1079"/>
      <c r="Z1691" s="1079"/>
      <c r="AA1691" s="1079"/>
      <c r="AB1691" s="1079"/>
      <c r="AC1691" s="1079"/>
      <c r="AD1691" s="1080"/>
    </row>
    <row r="1692" spans="1:30" x14ac:dyDescent="0.2">
      <c r="A1692">
        <f t="shared" si="60"/>
        <v>46</v>
      </c>
      <c r="B1692">
        <v>1683</v>
      </c>
      <c r="C1692" s="1078">
        <v>2</v>
      </c>
      <c r="D1692" s="1077" t="s">
        <v>3604</v>
      </c>
      <c r="E1692" s="1077" t="s">
        <v>4313</v>
      </c>
      <c r="F1692" s="1079" t="s">
        <v>3914</v>
      </c>
      <c r="G1692" s="1079">
        <v>8.6999999999999993</v>
      </c>
      <c r="H1692" s="1079">
        <v>2.2999999999999998</v>
      </c>
      <c r="I1692" s="1079">
        <v>10.3</v>
      </c>
      <c r="J1692" s="1079">
        <v>2.7</v>
      </c>
      <c r="K1692" s="1079">
        <v>14.7</v>
      </c>
      <c r="L1692" s="1079">
        <v>3.7</v>
      </c>
      <c r="M1692" s="1079">
        <v>19.600000000000001</v>
      </c>
      <c r="N1692" s="1079">
        <v>4.4000000000000004</v>
      </c>
      <c r="O1692" s="1079"/>
      <c r="P1692" s="1079"/>
      <c r="Q1692" s="1079">
        <v>10</v>
      </c>
      <c r="R1692" s="1079">
        <v>1.7</v>
      </c>
      <c r="S1692" s="1079">
        <v>18.8</v>
      </c>
      <c r="T1692" s="1079">
        <v>2.9</v>
      </c>
      <c r="U1692" s="1079">
        <v>22.1</v>
      </c>
      <c r="V1692" s="1079">
        <v>3.4</v>
      </c>
      <c r="W1692" s="1079"/>
      <c r="X1692" s="1079"/>
      <c r="Y1692" s="1079"/>
      <c r="Z1692" s="1079"/>
      <c r="AA1692" s="1079"/>
      <c r="AB1692" s="1079"/>
      <c r="AC1692" s="1079"/>
      <c r="AD1692" s="1080"/>
    </row>
    <row r="1693" spans="1:30" x14ac:dyDescent="0.2">
      <c r="A1693">
        <f t="shared" si="60"/>
        <v>46</v>
      </c>
      <c r="B1693">
        <v>1684</v>
      </c>
      <c r="C1693" s="1078">
        <v>2</v>
      </c>
      <c r="D1693" s="1077" t="s">
        <v>3604</v>
      </c>
      <c r="E1693" s="1077" t="s">
        <v>4314</v>
      </c>
      <c r="F1693" s="1079" t="s">
        <v>3914</v>
      </c>
      <c r="G1693" s="1079">
        <v>14.4</v>
      </c>
      <c r="H1693" s="1079">
        <v>2.5</v>
      </c>
      <c r="I1693" s="1079">
        <v>16.7</v>
      </c>
      <c r="J1693" s="1079">
        <v>3</v>
      </c>
      <c r="K1693" s="1079">
        <v>19.600000000000001</v>
      </c>
      <c r="L1693" s="1079">
        <v>3.7</v>
      </c>
      <c r="M1693" s="1079">
        <v>26.1</v>
      </c>
      <c r="N1693" s="1079">
        <v>4.4000000000000004</v>
      </c>
      <c r="O1693" s="1079"/>
      <c r="P1693" s="1079"/>
      <c r="Q1693" s="1079">
        <v>16</v>
      </c>
      <c r="R1693" s="1079">
        <v>2</v>
      </c>
      <c r="S1693" s="1079">
        <v>25</v>
      </c>
      <c r="T1693" s="1079">
        <v>2.9</v>
      </c>
      <c r="U1693" s="1079">
        <v>30.3</v>
      </c>
      <c r="V1693" s="1079">
        <v>3.3</v>
      </c>
      <c r="W1693" s="1079"/>
      <c r="X1693" s="1079"/>
      <c r="Y1693" s="1079"/>
      <c r="Z1693" s="1079"/>
      <c r="AA1693" s="1079"/>
      <c r="AB1693" s="1079"/>
      <c r="AC1693" s="1079"/>
      <c r="AD1693" s="1080"/>
    </row>
    <row r="1694" spans="1:30" x14ac:dyDescent="0.2">
      <c r="A1694">
        <f t="shared" si="60"/>
        <v>46</v>
      </c>
      <c r="B1694">
        <v>1685</v>
      </c>
      <c r="C1694" s="1078">
        <v>2</v>
      </c>
      <c r="D1694" s="1077" t="s">
        <v>3604</v>
      </c>
      <c r="E1694" s="1077" t="s">
        <v>4315</v>
      </c>
      <c r="F1694" s="1079" t="s">
        <v>3914</v>
      </c>
      <c r="G1694" s="1079">
        <v>14.4</v>
      </c>
      <c r="H1694" s="1079">
        <v>2.5</v>
      </c>
      <c r="I1694" s="1079">
        <v>16.7</v>
      </c>
      <c r="J1694" s="1079">
        <v>3</v>
      </c>
      <c r="K1694" s="1079">
        <v>19.600000000000001</v>
      </c>
      <c r="L1694" s="1079">
        <v>3.7</v>
      </c>
      <c r="M1694" s="1079">
        <v>26.1</v>
      </c>
      <c r="N1694" s="1079">
        <v>4.4000000000000004</v>
      </c>
      <c r="O1694" s="1079"/>
      <c r="P1694" s="1079"/>
      <c r="Q1694" s="1079">
        <v>16</v>
      </c>
      <c r="R1694" s="1079">
        <v>2</v>
      </c>
      <c r="S1694" s="1079">
        <v>25</v>
      </c>
      <c r="T1694" s="1079">
        <v>2.9</v>
      </c>
      <c r="U1694" s="1079">
        <v>30.3</v>
      </c>
      <c r="V1694" s="1079">
        <v>3.3</v>
      </c>
      <c r="W1694" s="1079"/>
      <c r="X1694" s="1079"/>
      <c r="Y1694" s="1079"/>
      <c r="Z1694" s="1079"/>
      <c r="AA1694" s="1079"/>
      <c r="AB1694" s="1079"/>
      <c r="AC1694" s="1079"/>
      <c r="AD1694" s="1080"/>
    </row>
    <row r="1695" spans="1:30" x14ac:dyDescent="0.2">
      <c r="A1695">
        <f t="shared" si="60"/>
        <v>46</v>
      </c>
      <c r="B1695">
        <v>1686</v>
      </c>
      <c r="C1695" s="1078">
        <v>2</v>
      </c>
      <c r="D1695" s="1077" t="s">
        <v>3604</v>
      </c>
      <c r="E1695" s="1077" t="s">
        <v>4316</v>
      </c>
      <c r="F1695" s="1079" t="s">
        <v>3914</v>
      </c>
      <c r="G1695" s="1079">
        <v>17.899999999999999</v>
      </c>
      <c r="H1695" s="1079">
        <v>2.2999999999999998</v>
      </c>
      <c r="I1695" s="1079">
        <v>23.3</v>
      </c>
      <c r="J1695" s="1079">
        <v>3</v>
      </c>
      <c r="K1695" s="1079">
        <v>28.1</v>
      </c>
      <c r="L1695" s="1079">
        <v>3.7</v>
      </c>
      <c r="M1695" s="1079">
        <v>34.700000000000003</v>
      </c>
      <c r="N1695" s="1079">
        <v>4.3</v>
      </c>
      <c r="O1695" s="1079"/>
      <c r="P1695" s="1079"/>
      <c r="Q1695" s="1079">
        <v>21.6</v>
      </c>
      <c r="R1695" s="1079">
        <v>1.8</v>
      </c>
      <c r="S1695" s="1079">
        <v>32</v>
      </c>
      <c r="T1695" s="1079">
        <v>2.6</v>
      </c>
      <c r="U1695" s="1079">
        <v>42.7</v>
      </c>
      <c r="V1695" s="1079">
        <v>3.3</v>
      </c>
      <c r="W1695" s="1079"/>
      <c r="X1695" s="1079"/>
      <c r="Y1695" s="1079"/>
      <c r="Z1695" s="1079"/>
      <c r="AA1695" s="1079"/>
      <c r="AB1695" s="1079"/>
      <c r="AC1695" s="1079"/>
      <c r="AD1695" s="1080"/>
    </row>
    <row r="1696" spans="1:30" x14ac:dyDescent="0.2">
      <c r="A1696">
        <f t="shared" si="60"/>
        <v>46</v>
      </c>
      <c r="B1696">
        <v>1687</v>
      </c>
      <c r="C1696" s="1078">
        <v>2</v>
      </c>
      <c r="D1696" s="1077" t="s">
        <v>3604</v>
      </c>
      <c r="E1696" s="1077" t="s">
        <v>4317</v>
      </c>
      <c r="F1696" s="1079" t="s">
        <v>3914</v>
      </c>
      <c r="G1696" s="1079">
        <v>17.899999999999999</v>
      </c>
      <c r="H1696" s="1079">
        <v>2.2999999999999998</v>
      </c>
      <c r="I1696" s="1079">
        <v>23.3</v>
      </c>
      <c r="J1696" s="1079">
        <v>3</v>
      </c>
      <c r="K1696" s="1079">
        <v>28.1</v>
      </c>
      <c r="L1696" s="1079">
        <v>3.7</v>
      </c>
      <c r="M1696" s="1079">
        <v>34.700000000000003</v>
      </c>
      <c r="N1696" s="1079">
        <v>4.3</v>
      </c>
      <c r="O1696" s="1079"/>
      <c r="P1696" s="1079"/>
      <c r="Q1696" s="1079">
        <v>21.6</v>
      </c>
      <c r="R1696" s="1079">
        <v>1.8</v>
      </c>
      <c r="S1696" s="1079">
        <v>32</v>
      </c>
      <c r="T1696" s="1079">
        <v>2.6</v>
      </c>
      <c r="U1696" s="1079">
        <v>42.7</v>
      </c>
      <c r="V1696" s="1079">
        <v>3.3</v>
      </c>
      <c r="W1696" s="1079"/>
      <c r="X1696" s="1079"/>
      <c r="Y1696" s="1079"/>
      <c r="Z1696" s="1079"/>
      <c r="AA1696" s="1079"/>
      <c r="AB1696" s="1079"/>
      <c r="AC1696" s="1079"/>
      <c r="AD1696" s="1080"/>
    </row>
    <row r="1697" spans="1:30" x14ac:dyDescent="0.2">
      <c r="A1697">
        <f t="shared" si="60"/>
        <v>46</v>
      </c>
      <c r="B1697">
        <v>1688</v>
      </c>
      <c r="C1697" s="1078">
        <v>3</v>
      </c>
      <c r="D1697" s="1077" t="s">
        <v>3604</v>
      </c>
      <c r="E1697" s="1077" t="s">
        <v>4318</v>
      </c>
      <c r="F1697" s="1079" t="s">
        <v>3913</v>
      </c>
      <c r="G1697" s="1079"/>
      <c r="H1697" s="1079"/>
      <c r="I1697" s="1079"/>
      <c r="J1697" s="1079"/>
      <c r="K1697" s="1079"/>
      <c r="L1697" s="1079"/>
      <c r="M1697" s="1079"/>
      <c r="N1697" s="1079"/>
      <c r="O1697" s="1079"/>
      <c r="P1697" s="1079"/>
      <c r="Q1697" s="1079"/>
      <c r="R1697" s="1079"/>
      <c r="S1697" s="1079"/>
      <c r="T1697" s="1079"/>
      <c r="U1697" s="1079"/>
      <c r="V1697" s="1079"/>
      <c r="W1697" s="1079">
        <v>6.1</v>
      </c>
      <c r="X1697" s="1079">
        <v>4.7</v>
      </c>
      <c r="Y1697" s="1079">
        <v>5.5</v>
      </c>
      <c r="Z1697" s="1079">
        <v>2.8</v>
      </c>
      <c r="AA1697" s="1079"/>
      <c r="AB1697" s="1079"/>
      <c r="AC1697" s="1079"/>
      <c r="AD1697" s="1080"/>
    </row>
    <row r="1698" spans="1:30" x14ac:dyDescent="0.2">
      <c r="A1698">
        <f t="shared" si="60"/>
        <v>46</v>
      </c>
      <c r="B1698">
        <v>1689</v>
      </c>
      <c r="C1698" s="1078">
        <v>3</v>
      </c>
      <c r="D1698" s="1077" t="s">
        <v>3604</v>
      </c>
      <c r="E1698" s="1077" t="s">
        <v>4319</v>
      </c>
      <c r="F1698" s="1079" t="s">
        <v>3913</v>
      </c>
      <c r="G1698" s="1079"/>
      <c r="H1698" s="1079"/>
      <c r="I1698" s="1079"/>
      <c r="J1698" s="1079"/>
      <c r="K1698" s="1079"/>
      <c r="L1698" s="1079"/>
      <c r="M1698" s="1079"/>
      <c r="N1698" s="1079"/>
      <c r="O1698" s="1079"/>
      <c r="P1698" s="1079"/>
      <c r="Q1698" s="1079"/>
      <c r="R1698" s="1079"/>
      <c r="S1698" s="1079"/>
      <c r="T1698" s="1079"/>
      <c r="U1698" s="1079"/>
      <c r="V1698" s="1079"/>
      <c r="W1698" s="1079">
        <v>6.1</v>
      </c>
      <c r="X1698" s="1079">
        <v>4.9000000000000004</v>
      </c>
      <c r="Y1698" s="1079">
        <v>5.5</v>
      </c>
      <c r="Z1698" s="1079">
        <v>2.9</v>
      </c>
      <c r="AA1698" s="1079"/>
      <c r="AB1698" s="1079"/>
      <c r="AC1698" s="1079"/>
      <c r="AD1698" s="1080"/>
    </row>
    <row r="1699" spans="1:30" x14ac:dyDescent="0.2">
      <c r="A1699">
        <f t="shared" si="60"/>
        <v>46</v>
      </c>
      <c r="B1699">
        <v>1690</v>
      </c>
      <c r="C1699" s="1078">
        <v>3</v>
      </c>
      <c r="D1699" s="1077" t="s">
        <v>3604</v>
      </c>
      <c r="E1699" s="1077" t="s">
        <v>4320</v>
      </c>
      <c r="F1699" s="1079" t="s">
        <v>3913</v>
      </c>
      <c r="G1699" s="1079"/>
      <c r="H1699" s="1079"/>
      <c r="I1699" s="1079"/>
      <c r="J1699" s="1079"/>
      <c r="K1699" s="1079"/>
      <c r="L1699" s="1079"/>
      <c r="M1699" s="1079"/>
      <c r="N1699" s="1079"/>
      <c r="O1699" s="1079"/>
      <c r="P1699" s="1079"/>
      <c r="Q1699" s="1079"/>
      <c r="R1699" s="1079"/>
      <c r="S1699" s="1079"/>
      <c r="T1699" s="1079"/>
      <c r="U1699" s="1079"/>
      <c r="V1699" s="1079"/>
      <c r="W1699" s="1079">
        <v>6.1</v>
      </c>
      <c r="X1699" s="1079">
        <v>4.7</v>
      </c>
      <c r="Y1699" s="1079">
        <v>5.5</v>
      </c>
      <c r="Z1699" s="1079">
        <v>2.8</v>
      </c>
      <c r="AA1699" s="1079"/>
      <c r="AB1699" s="1079"/>
      <c r="AC1699" s="1079"/>
      <c r="AD1699" s="1080"/>
    </row>
    <row r="1700" spans="1:30" x14ac:dyDescent="0.2">
      <c r="A1700">
        <f t="shared" si="60"/>
        <v>46</v>
      </c>
      <c r="B1700">
        <v>1691</v>
      </c>
      <c r="C1700" s="1078">
        <v>3</v>
      </c>
      <c r="D1700" s="1077" t="s">
        <v>3604</v>
      </c>
      <c r="E1700" s="1077" t="s">
        <v>4321</v>
      </c>
      <c r="F1700" s="1079" t="s">
        <v>3913</v>
      </c>
      <c r="G1700" s="1079"/>
      <c r="H1700" s="1079"/>
      <c r="I1700" s="1079"/>
      <c r="J1700" s="1079"/>
      <c r="K1700" s="1079"/>
      <c r="L1700" s="1079"/>
      <c r="M1700" s="1079"/>
      <c r="N1700" s="1079"/>
      <c r="O1700" s="1079"/>
      <c r="P1700" s="1079"/>
      <c r="Q1700" s="1079"/>
      <c r="R1700" s="1079"/>
      <c r="S1700" s="1079"/>
      <c r="T1700" s="1079"/>
      <c r="U1700" s="1079"/>
      <c r="V1700" s="1079"/>
      <c r="W1700" s="1079">
        <v>6.1</v>
      </c>
      <c r="X1700" s="1079">
        <v>4.9000000000000004</v>
      </c>
      <c r="Y1700" s="1079">
        <v>5.5</v>
      </c>
      <c r="Z1700" s="1079">
        <v>2.9</v>
      </c>
      <c r="AA1700" s="1079"/>
      <c r="AB1700" s="1079"/>
      <c r="AC1700" s="1079"/>
      <c r="AD1700" s="1080"/>
    </row>
    <row r="1701" spans="1:30" x14ac:dyDescent="0.2">
      <c r="A1701">
        <f t="shared" si="60"/>
        <v>46</v>
      </c>
      <c r="B1701">
        <v>1692</v>
      </c>
      <c r="C1701" s="1078">
        <v>3</v>
      </c>
      <c r="D1701" s="1077" t="s">
        <v>3604</v>
      </c>
      <c r="E1701" s="1077" t="s">
        <v>4322</v>
      </c>
      <c r="F1701" s="1079" t="s">
        <v>3913</v>
      </c>
      <c r="G1701" s="1079"/>
      <c r="H1701" s="1079"/>
      <c r="I1701" s="1079"/>
      <c r="J1701" s="1079"/>
      <c r="K1701" s="1079"/>
      <c r="L1701" s="1079"/>
      <c r="M1701" s="1079"/>
      <c r="N1701" s="1079"/>
      <c r="O1701" s="1079"/>
      <c r="P1701" s="1079"/>
      <c r="Q1701" s="1079"/>
      <c r="R1701" s="1079"/>
      <c r="S1701" s="1079"/>
      <c r="T1701" s="1079"/>
      <c r="U1701" s="1079"/>
      <c r="V1701" s="1079"/>
      <c r="W1701" s="1079">
        <v>6.4</v>
      </c>
      <c r="X1701" s="1079">
        <v>4.4000000000000004</v>
      </c>
      <c r="Y1701" s="1079">
        <v>5.9</v>
      </c>
      <c r="Z1701" s="1079">
        <v>2.8</v>
      </c>
      <c r="AA1701" s="1079"/>
      <c r="AB1701" s="1079"/>
      <c r="AC1701" s="1079"/>
      <c r="AD1701" s="1080"/>
    </row>
    <row r="1702" spans="1:30" x14ac:dyDescent="0.2">
      <c r="A1702">
        <f t="shared" si="60"/>
        <v>46</v>
      </c>
      <c r="B1702">
        <v>1693</v>
      </c>
      <c r="C1702" s="1078">
        <v>3</v>
      </c>
      <c r="D1702" s="1077" t="s">
        <v>3604</v>
      </c>
      <c r="E1702" s="1077" t="s">
        <v>4323</v>
      </c>
      <c r="F1702" s="1079" t="s">
        <v>3913</v>
      </c>
      <c r="G1702" s="1079"/>
      <c r="H1702" s="1079"/>
      <c r="I1702" s="1079"/>
      <c r="J1702" s="1079"/>
      <c r="K1702" s="1079"/>
      <c r="L1702" s="1079"/>
      <c r="M1702" s="1079"/>
      <c r="N1702" s="1079"/>
      <c r="O1702" s="1079"/>
      <c r="P1702" s="1079"/>
      <c r="Q1702" s="1079"/>
      <c r="R1702" s="1079"/>
      <c r="S1702" s="1079"/>
      <c r="T1702" s="1079"/>
      <c r="U1702" s="1079"/>
      <c r="V1702" s="1079"/>
      <c r="W1702" s="1079">
        <v>6.4</v>
      </c>
      <c r="X1702" s="1079">
        <v>4.4000000000000004</v>
      </c>
      <c r="Y1702" s="1079">
        <v>5.9</v>
      </c>
      <c r="Z1702" s="1079">
        <v>2.8</v>
      </c>
      <c r="AA1702" s="1079"/>
      <c r="AB1702" s="1079"/>
      <c r="AC1702" s="1079"/>
      <c r="AD1702" s="1080"/>
    </row>
    <row r="1703" spans="1:30" x14ac:dyDescent="0.2">
      <c r="A1703">
        <f t="shared" si="60"/>
        <v>46</v>
      </c>
      <c r="B1703">
        <v>1694</v>
      </c>
      <c r="C1703" s="1078">
        <v>3</v>
      </c>
      <c r="D1703" s="1077" t="s">
        <v>3604</v>
      </c>
      <c r="E1703" s="1077" t="s">
        <v>4324</v>
      </c>
      <c r="F1703" s="1079" t="s">
        <v>3913</v>
      </c>
      <c r="G1703" s="1079"/>
      <c r="H1703" s="1079"/>
      <c r="I1703" s="1079"/>
      <c r="J1703" s="1079"/>
      <c r="K1703" s="1079"/>
      <c r="L1703" s="1079"/>
      <c r="M1703" s="1079"/>
      <c r="N1703" s="1079"/>
      <c r="O1703" s="1079"/>
      <c r="P1703" s="1079"/>
      <c r="Q1703" s="1079"/>
      <c r="R1703" s="1079"/>
      <c r="S1703" s="1079"/>
      <c r="T1703" s="1079"/>
      <c r="U1703" s="1079"/>
      <c r="V1703" s="1079"/>
      <c r="W1703" s="1079">
        <v>8.1</v>
      </c>
      <c r="X1703" s="1079">
        <v>4.8</v>
      </c>
      <c r="Y1703" s="1079">
        <v>7.2</v>
      </c>
      <c r="Z1703" s="1079">
        <v>2.8</v>
      </c>
      <c r="AA1703" s="1079"/>
      <c r="AB1703" s="1079"/>
      <c r="AC1703" s="1079"/>
      <c r="AD1703" s="1080"/>
    </row>
    <row r="1704" spans="1:30" x14ac:dyDescent="0.2">
      <c r="A1704">
        <f t="shared" si="60"/>
        <v>46</v>
      </c>
      <c r="B1704">
        <v>1695</v>
      </c>
      <c r="C1704" s="1078">
        <v>3</v>
      </c>
      <c r="D1704" s="1077" t="s">
        <v>3604</v>
      </c>
      <c r="E1704" s="1077" t="s">
        <v>4325</v>
      </c>
      <c r="F1704" s="1079" t="s">
        <v>3913</v>
      </c>
      <c r="G1704" s="1079"/>
      <c r="H1704" s="1079"/>
      <c r="I1704" s="1079"/>
      <c r="J1704" s="1079"/>
      <c r="K1704" s="1079"/>
      <c r="L1704" s="1079"/>
      <c r="M1704" s="1079"/>
      <c r="N1704" s="1079"/>
      <c r="O1704" s="1079"/>
      <c r="P1704" s="1079"/>
      <c r="Q1704" s="1079"/>
      <c r="R1704" s="1079"/>
      <c r="S1704" s="1079"/>
      <c r="T1704" s="1079"/>
      <c r="U1704" s="1079"/>
      <c r="V1704" s="1079"/>
      <c r="W1704" s="1079">
        <v>8.1</v>
      </c>
      <c r="X1704" s="1079">
        <v>5</v>
      </c>
      <c r="Y1704" s="1079">
        <v>7.2</v>
      </c>
      <c r="Z1704" s="1079">
        <v>2.9</v>
      </c>
      <c r="AA1704" s="1079"/>
      <c r="AB1704" s="1079"/>
      <c r="AC1704" s="1079"/>
      <c r="AD1704" s="1080"/>
    </row>
    <row r="1705" spans="1:30" x14ac:dyDescent="0.2">
      <c r="A1705">
        <f t="shared" si="60"/>
        <v>46</v>
      </c>
      <c r="B1705">
        <v>1696</v>
      </c>
      <c r="C1705" s="1078">
        <v>3</v>
      </c>
      <c r="D1705" s="1077" t="s">
        <v>3604</v>
      </c>
      <c r="E1705" s="1077" t="s">
        <v>4326</v>
      </c>
      <c r="F1705" s="1079" t="s">
        <v>3913</v>
      </c>
      <c r="G1705" s="1079"/>
      <c r="H1705" s="1079"/>
      <c r="I1705" s="1079"/>
      <c r="J1705" s="1079"/>
      <c r="K1705" s="1079"/>
      <c r="L1705" s="1079"/>
      <c r="M1705" s="1079"/>
      <c r="N1705" s="1079"/>
      <c r="O1705" s="1079"/>
      <c r="P1705" s="1079"/>
      <c r="Q1705" s="1079"/>
      <c r="R1705" s="1079"/>
      <c r="S1705" s="1079"/>
      <c r="T1705" s="1079"/>
      <c r="U1705" s="1079"/>
      <c r="V1705" s="1079"/>
      <c r="W1705" s="1079">
        <v>8.1</v>
      </c>
      <c r="X1705" s="1079">
        <v>4.8</v>
      </c>
      <c r="Y1705" s="1079">
        <v>7.2</v>
      </c>
      <c r="Z1705" s="1079">
        <v>2.8</v>
      </c>
      <c r="AA1705" s="1079"/>
      <c r="AB1705" s="1079"/>
      <c r="AC1705" s="1079"/>
      <c r="AD1705" s="1080"/>
    </row>
    <row r="1706" spans="1:30" x14ac:dyDescent="0.2">
      <c r="A1706">
        <f t="shared" si="60"/>
        <v>46</v>
      </c>
      <c r="B1706">
        <v>1697</v>
      </c>
      <c r="C1706" s="1078">
        <v>3</v>
      </c>
      <c r="D1706" s="1077" t="s">
        <v>3604</v>
      </c>
      <c r="E1706" s="1077" t="s">
        <v>4327</v>
      </c>
      <c r="F1706" s="1079" t="s">
        <v>3913</v>
      </c>
      <c r="G1706" s="1079"/>
      <c r="H1706" s="1079"/>
      <c r="I1706" s="1079"/>
      <c r="J1706" s="1079"/>
      <c r="K1706" s="1079"/>
      <c r="L1706" s="1079"/>
      <c r="M1706" s="1079"/>
      <c r="N1706" s="1079"/>
      <c r="O1706" s="1079"/>
      <c r="P1706" s="1079"/>
      <c r="Q1706" s="1079"/>
      <c r="R1706" s="1079"/>
      <c r="S1706" s="1079"/>
      <c r="T1706" s="1079"/>
      <c r="U1706" s="1079"/>
      <c r="V1706" s="1079"/>
      <c r="W1706" s="1079">
        <v>8.1</v>
      </c>
      <c r="X1706" s="1079">
        <v>5</v>
      </c>
      <c r="Y1706" s="1079">
        <v>7.2</v>
      </c>
      <c r="Z1706" s="1079">
        <v>2.9</v>
      </c>
      <c r="AA1706" s="1079"/>
      <c r="AB1706" s="1079"/>
      <c r="AC1706" s="1079"/>
      <c r="AD1706" s="1080"/>
    </row>
    <row r="1707" spans="1:30" x14ac:dyDescent="0.2">
      <c r="A1707">
        <f t="shared" si="60"/>
        <v>46</v>
      </c>
      <c r="B1707">
        <v>1698</v>
      </c>
      <c r="C1707" s="1078">
        <v>3</v>
      </c>
      <c r="D1707" s="1077" t="s">
        <v>3604</v>
      </c>
      <c r="E1707" s="1077" t="s">
        <v>4328</v>
      </c>
      <c r="F1707" s="1079" t="s">
        <v>3913</v>
      </c>
      <c r="G1707" s="1079"/>
      <c r="H1707" s="1079"/>
      <c r="I1707" s="1079"/>
      <c r="J1707" s="1079"/>
      <c r="K1707" s="1079"/>
      <c r="L1707" s="1079"/>
      <c r="M1707" s="1079"/>
      <c r="N1707" s="1079"/>
      <c r="O1707" s="1079"/>
      <c r="P1707" s="1079"/>
      <c r="Q1707" s="1079"/>
      <c r="R1707" s="1079"/>
      <c r="S1707" s="1079"/>
      <c r="T1707" s="1079"/>
      <c r="U1707" s="1079"/>
      <c r="V1707" s="1079"/>
      <c r="W1707" s="1079">
        <v>9.1</v>
      </c>
      <c r="X1707" s="1079">
        <v>4.4000000000000004</v>
      </c>
      <c r="Y1707" s="1079">
        <v>8.6</v>
      </c>
      <c r="Z1707" s="1079">
        <v>2.7</v>
      </c>
      <c r="AA1707" s="1079"/>
      <c r="AB1707" s="1079"/>
      <c r="AC1707" s="1079"/>
      <c r="AD1707" s="1080"/>
    </row>
    <row r="1708" spans="1:30" x14ac:dyDescent="0.2">
      <c r="A1708">
        <f t="shared" si="60"/>
        <v>46</v>
      </c>
      <c r="B1708">
        <v>1699</v>
      </c>
      <c r="C1708" s="1078">
        <v>3</v>
      </c>
      <c r="D1708" s="1077" t="s">
        <v>3604</v>
      </c>
      <c r="E1708" s="1077" t="s">
        <v>4329</v>
      </c>
      <c r="F1708" s="1079" t="s">
        <v>3913</v>
      </c>
      <c r="G1708" s="1079"/>
      <c r="H1708" s="1079"/>
      <c r="I1708" s="1079"/>
      <c r="J1708" s="1079"/>
      <c r="K1708" s="1079"/>
      <c r="L1708" s="1079"/>
      <c r="M1708" s="1079"/>
      <c r="N1708" s="1079"/>
      <c r="O1708" s="1079"/>
      <c r="P1708" s="1079"/>
      <c r="Q1708" s="1079"/>
      <c r="R1708" s="1079"/>
      <c r="S1708" s="1079"/>
      <c r="T1708" s="1079"/>
      <c r="U1708" s="1079"/>
      <c r="V1708" s="1079"/>
      <c r="W1708" s="1079">
        <v>9.1</v>
      </c>
      <c r="X1708" s="1079">
        <v>4.4000000000000004</v>
      </c>
      <c r="Y1708" s="1079">
        <v>8.6</v>
      </c>
      <c r="Z1708" s="1079">
        <v>2.7</v>
      </c>
      <c r="AA1708" s="1079"/>
      <c r="AB1708" s="1079"/>
      <c r="AC1708" s="1079"/>
      <c r="AD1708" s="1080"/>
    </row>
    <row r="1709" spans="1:30" x14ac:dyDescent="0.2">
      <c r="A1709">
        <f t="shared" si="60"/>
        <v>46</v>
      </c>
      <c r="B1709">
        <v>1700</v>
      </c>
      <c r="C1709" s="1078">
        <v>3</v>
      </c>
      <c r="D1709" s="1077" t="s">
        <v>3604</v>
      </c>
      <c r="E1709" s="1077" t="s">
        <v>4330</v>
      </c>
      <c r="F1709" s="1079" t="s">
        <v>3913</v>
      </c>
      <c r="G1709" s="1079"/>
      <c r="H1709" s="1079"/>
      <c r="I1709" s="1079"/>
      <c r="J1709" s="1079"/>
      <c r="K1709" s="1079"/>
      <c r="L1709" s="1079"/>
      <c r="M1709" s="1079"/>
      <c r="N1709" s="1079"/>
      <c r="O1709" s="1079"/>
      <c r="P1709" s="1079"/>
      <c r="Q1709" s="1079"/>
      <c r="R1709" s="1079"/>
      <c r="S1709" s="1079"/>
      <c r="T1709" s="1079"/>
      <c r="U1709" s="1079"/>
      <c r="V1709" s="1079"/>
      <c r="W1709" s="1079">
        <v>10.9</v>
      </c>
      <c r="X1709" s="1079">
        <v>4.9000000000000004</v>
      </c>
      <c r="Y1709" s="1079">
        <v>10</v>
      </c>
      <c r="Z1709" s="1079">
        <v>2.9</v>
      </c>
      <c r="AA1709" s="1079"/>
      <c r="AB1709" s="1079"/>
      <c r="AC1709" s="1079"/>
      <c r="AD1709" s="1080"/>
    </row>
    <row r="1710" spans="1:30" x14ac:dyDescent="0.2">
      <c r="A1710">
        <f t="shared" si="60"/>
        <v>46</v>
      </c>
      <c r="B1710">
        <v>1701</v>
      </c>
      <c r="C1710" s="1078">
        <v>3</v>
      </c>
      <c r="D1710" s="1077" t="s">
        <v>3604</v>
      </c>
      <c r="E1710" s="1077" t="s">
        <v>4331</v>
      </c>
      <c r="F1710" s="1079" t="s">
        <v>3913</v>
      </c>
      <c r="G1710" s="1079"/>
      <c r="H1710" s="1079"/>
      <c r="I1710" s="1079"/>
      <c r="J1710" s="1079"/>
      <c r="K1710" s="1079"/>
      <c r="L1710" s="1079"/>
      <c r="M1710" s="1079"/>
      <c r="N1710" s="1079"/>
      <c r="O1710" s="1079"/>
      <c r="P1710" s="1079"/>
      <c r="Q1710" s="1079"/>
      <c r="R1710" s="1079"/>
      <c r="S1710" s="1079"/>
      <c r="T1710" s="1079"/>
      <c r="U1710" s="1079"/>
      <c r="V1710" s="1079"/>
      <c r="W1710" s="1079">
        <v>10.9</v>
      </c>
      <c r="X1710" s="1079">
        <v>4.5</v>
      </c>
      <c r="Y1710" s="1079">
        <v>10.4</v>
      </c>
      <c r="Z1710" s="1079">
        <v>2.9</v>
      </c>
      <c r="AA1710" s="1079"/>
      <c r="AB1710" s="1079"/>
      <c r="AC1710" s="1079"/>
      <c r="AD1710" s="1080"/>
    </row>
    <row r="1711" spans="1:30" x14ac:dyDescent="0.2">
      <c r="A1711">
        <f t="shared" si="60"/>
        <v>46</v>
      </c>
      <c r="B1711">
        <v>1702</v>
      </c>
      <c r="C1711" s="1078">
        <v>3</v>
      </c>
      <c r="D1711" s="1077" t="s">
        <v>3604</v>
      </c>
      <c r="E1711" s="1077" t="s">
        <v>4332</v>
      </c>
      <c r="F1711" s="1079" t="s">
        <v>3914</v>
      </c>
      <c r="G1711" s="1079"/>
      <c r="H1711" s="1079"/>
      <c r="I1711" s="1079"/>
      <c r="J1711" s="1079"/>
      <c r="K1711" s="1079"/>
      <c r="L1711" s="1079"/>
      <c r="M1711" s="1079"/>
      <c r="N1711" s="1079"/>
      <c r="O1711" s="1079"/>
      <c r="P1711" s="1079"/>
      <c r="Q1711" s="1079"/>
      <c r="R1711" s="1079"/>
      <c r="S1711" s="1079"/>
      <c r="T1711" s="1079"/>
      <c r="U1711" s="1079"/>
      <c r="V1711" s="1079"/>
      <c r="W1711" s="1079">
        <v>10.9</v>
      </c>
      <c r="X1711" s="1079">
        <v>4.9000000000000004</v>
      </c>
      <c r="Y1711" s="1079">
        <v>10</v>
      </c>
      <c r="Z1711" s="1079">
        <v>2.9</v>
      </c>
      <c r="AA1711" s="1079"/>
      <c r="AB1711" s="1079"/>
      <c r="AC1711" s="1079"/>
      <c r="AD1711" s="1080"/>
    </row>
    <row r="1712" spans="1:30" x14ac:dyDescent="0.2">
      <c r="A1712">
        <f t="shared" si="60"/>
        <v>46</v>
      </c>
      <c r="B1712">
        <v>1703</v>
      </c>
      <c r="C1712" s="1078">
        <v>3</v>
      </c>
      <c r="D1712" s="1077" t="s">
        <v>3604</v>
      </c>
      <c r="E1712" s="1077" t="s">
        <v>4333</v>
      </c>
      <c r="F1712" s="1079" t="s">
        <v>3913</v>
      </c>
      <c r="G1712" s="1079"/>
      <c r="H1712" s="1079"/>
      <c r="I1712" s="1079"/>
      <c r="J1712" s="1079"/>
      <c r="K1712" s="1079"/>
      <c r="L1712" s="1079"/>
      <c r="M1712" s="1079"/>
      <c r="N1712" s="1079"/>
      <c r="O1712" s="1079"/>
      <c r="P1712" s="1079"/>
      <c r="Q1712" s="1079"/>
      <c r="R1712" s="1079"/>
      <c r="S1712" s="1079"/>
      <c r="T1712" s="1079"/>
      <c r="U1712" s="1079"/>
      <c r="V1712" s="1079"/>
      <c r="W1712" s="1079">
        <v>10.9</v>
      </c>
      <c r="X1712" s="1079">
        <v>4.9000000000000004</v>
      </c>
      <c r="Y1712" s="1079">
        <v>10</v>
      </c>
      <c r="Z1712" s="1079">
        <v>2.9</v>
      </c>
      <c r="AA1712" s="1079"/>
      <c r="AB1712" s="1079"/>
      <c r="AC1712" s="1079"/>
      <c r="AD1712" s="1080"/>
    </row>
    <row r="1713" spans="1:30" x14ac:dyDescent="0.2">
      <c r="A1713">
        <f t="shared" si="60"/>
        <v>46</v>
      </c>
      <c r="B1713">
        <v>1704</v>
      </c>
      <c r="C1713" s="1078">
        <v>3</v>
      </c>
      <c r="D1713" s="1077" t="s">
        <v>3604</v>
      </c>
      <c r="E1713" s="1077" t="s">
        <v>4334</v>
      </c>
      <c r="F1713" s="1079" t="s">
        <v>3913</v>
      </c>
      <c r="G1713" s="1079"/>
      <c r="H1713" s="1079"/>
      <c r="I1713" s="1079"/>
      <c r="J1713" s="1079"/>
      <c r="K1713" s="1079"/>
      <c r="L1713" s="1079"/>
      <c r="M1713" s="1079"/>
      <c r="N1713" s="1079"/>
      <c r="O1713" s="1079"/>
      <c r="P1713" s="1079"/>
      <c r="Q1713" s="1079"/>
      <c r="R1713" s="1079"/>
      <c r="S1713" s="1079"/>
      <c r="T1713" s="1079"/>
      <c r="U1713" s="1079"/>
      <c r="V1713" s="1079"/>
      <c r="W1713" s="1079">
        <v>10.9</v>
      </c>
      <c r="X1713" s="1079">
        <v>5</v>
      </c>
      <c r="Y1713" s="1079">
        <v>10</v>
      </c>
      <c r="Z1713" s="1079">
        <v>2.9</v>
      </c>
      <c r="AA1713" s="1079"/>
      <c r="AB1713" s="1079"/>
      <c r="AC1713" s="1079"/>
      <c r="AD1713" s="1080"/>
    </row>
    <row r="1714" spans="1:30" x14ac:dyDescent="0.2">
      <c r="A1714">
        <f t="shared" si="60"/>
        <v>46</v>
      </c>
      <c r="B1714">
        <v>1705</v>
      </c>
      <c r="C1714" s="1078">
        <v>3</v>
      </c>
      <c r="D1714" s="1077" t="s">
        <v>3604</v>
      </c>
      <c r="E1714" s="1077" t="s">
        <v>4335</v>
      </c>
      <c r="F1714" s="1079" t="s">
        <v>3913</v>
      </c>
      <c r="G1714" s="1079"/>
      <c r="H1714" s="1079"/>
      <c r="I1714" s="1079"/>
      <c r="J1714" s="1079"/>
      <c r="K1714" s="1079"/>
      <c r="L1714" s="1079"/>
      <c r="M1714" s="1079"/>
      <c r="N1714" s="1079"/>
      <c r="O1714" s="1079"/>
      <c r="P1714" s="1079"/>
      <c r="Q1714" s="1079"/>
      <c r="R1714" s="1079"/>
      <c r="S1714" s="1079"/>
      <c r="T1714" s="1079"/>
      <c r="U1714" s="1079"/>
      <c r="V1714" s="1079"/>
      <c r="W1714" s="1079">
        <v>10.9</v>
      </c>
      <c r="X1714" s="1079">
        <v>4.5</v>
      </c>
      <c r="Y1714" s="1079">
        <v>10.4</v>
      </c>
      <c r="Z1714" s="1079">
        <v>2.9</v>
      </c>
      <c r="AA1714" s="1079"/>
      <c r="AB1714" s="1079"/>
      <c r="AC1714" s="1079"/>
      <c r="AD1714" s="1080"/>
    </row>
    <row r="1715" spans="1:30" x14ac:dyDescent="0.2">
      <c r="A1715">
        <f t="shared" si="60"/>
        <v>46</v>
      </c>
      <c r="B1715">
        <v>1706</v>
      </c>
      <c r="C1715" s="1078">
        <v>3</v>
      </c>
      <c r="D1715" s="1077" t="s">
        <v>3604</v>
      </c>
      <c r="E1715" s="1077" t="s">
        <v>4336</v>
      </c>
      <c r="F1715" s="1079" t="s">
        <v>3913</v>
      </c>
      <c r="G1715" s="1079"/>
      <c r="H1715" s="1079"/>
      <c r="I1715" s="1079"/>
      <c r="J1715" s="1079"/>
      <c r="K1715" s="1079"/>
      <c r="L1715" s="1079"/>
      <c r="M1715" s="1079"/>
      <c r="N1715" s="1079"/>
      <c r="O1715" s="1079"/>
      <c r="P1715" s="1079"/>
      <c r="Q1715" s="1079"/>
      <c r="R1715" s="1079"/>
      <c r="S1715" s="1079"/>
      <c r="T1715" s="1079"/>
      <c r="U1715" s="1079"/>
      <c r="V1715" s="1079"/>
      <c r="W1715" s="1079">
        <v>14</v>
      </c>
      <c r="X1715" s="1079">
        <v>5</v>
      </c>
      <c r="Y1715" s="1079">
        <v>12.8</v>
      </c>
      <c r="Z1715" s="1079">
        <v>3</v>
      </c>
      <c r="AA1715" s="1079"/>
      <c r="AB1715" s="1079"/>
      <c r="AC1715" s="1079"/>
      <c r="AD1715" s="1080"/>
    </row>
    <row r="1716" spans="1:30" x14ac:dyDescent="0.2">
      <c r="A1716">
        <f t="shared" si="60"/>
        <v>46</v>
      </c>
      <c r="B1716">
        <v>1707</v>
      </c>
      <c r="C1716" s="1078">
        <v>3</v>
      </c>
      <c r="D1716" s="1077" t="s">
        <v>3604</v>
      </c>
      <c r="E1716" s="1077" t="s">
        <v>4337</v>
      </c>
      <c r="F1716" s="1079" t="s">
        <v>3913</v>
      </c>
      <c r="G1716" s="1079"/>
      <c r="H1716" s="1079"/>
      <c r="I1716" s="1079"/>
      <c r="J1716" s="1079"/>
      <c r="K1716" s="1079"/>
      <c r="L1716" s="1079"/>
      <c r="M1716" s="1079"/>
      <c r="N1716" s="1079"/>
      <c r="O1716" s="1079"/>
      <c r="P1716" s="1079"/>
      <c r="Q1716" s="1079"/>
      <c r="R1716" s="1079"/>
      <c r="S1716" s="1079"/>
      <c r="T1716" s="1079"/>
      <c r="U1716" s="1079"/>
      <c r="V1716" s="1079"/>
      <c r="W1716" s="1079">
        <v>14</v>
      </c>
      <c r="X1716" s="1079">
        <v>5</v>
      </c>
      <c r="Y1716" s="1079">
        <v>12.8</v>
      </c>
      <c r="Z1716" s="1079">
        <v>3</v>
      </c>
      <c r="AA1716" s="1079"/>
      <c r="AB1716" s="1079"/>
      <c r="AC1716" s="1079"/>
      <c r="AD1716" s="1080"/>
    </row>
    <row r="1717" spans="1:30" x14ac:dyDescent="0.2">
      <c r="A1717">
        <f t="shared" si="60"/>
        <v>46</v>
      </c>
      <c r="B1717">
        <v>1708</v>
      </c>
      <c r="C1717" s="1078">
        <v>3</v>
      </c>
      <c r="D1717" s="1077" t="s">
        <v>3604</v>
      </c>
      <c r="E1717" s="1077" t="s">
        <v>4338</v>
      </c>
      <c r="F1717" s="1079" t="s">
        <v>3913</v>
      </c>
      <c r="G1717" s="1079"/>
      <c r="H1717" s="1079"/>
      <c r="I1717" s="1079"/>
      <c r="J1717" s="1079"/>
      <c r="K1717" s="1079"/>
      <c r="L1717" s="1079"/>
      <c r="M1717" s="1079"/>
      <c r="N1717" s="1079"/>
      <c r="O1717" s="1079"/>
      <c r="P1717" s="1079"/>
      <c r="Q1717" s="1079"/>
      <c r="R1717" s="1079"/>
      <c r="S1717" s="1079"/>
      <c r="T1717" s="1079"/>
      <c r="U1717" s="1079"/>
      <c r="V1717" s="1079"/>
      <c r="W1717" s="1079">
        <v>17.5</v>
      </c>
      <c r="X1717" s="1079">
        <v>4.7</v>
      </c>
      <c r="Y1717" s="1079">
        <v>16.5</v>
      </c>
      <c r="Z1717" s="1079">
        <v>2.9</v>
      </c>
      <c r="AA1717" s="1079"/>
      <c r="AB1717" s="1079"/>
      <c r="AC1717" s="1079"/>
      <c r="AD1717" s="1080"/>
    </row>
    <row r="1718" spans="1:30" x14ac:dyDescent="0.2">
      <c r="A1718">
        <f t="shared" si="60"/>
        <v>46</v>
      </c>
      <c r="B1718">
        <v>1709</v>
      </c>
      <c r="C1718" s="1078">
        <v>3</v>
      </c>
      <c r="D1718" s="1077" t="s">
        <v>3604</v>
      </c>
      <c r="E1718" s="1077" t="s">
        <v>4339</v>
      </c>
      <c r="F1718" s="1079" t="s">
        <v>3913</v>
      </c>
      <c r="G1718" s="1079"/>
      <c r="H1718" s="1079"/>
      <c r="I1718" s="1079"/>
      <c r="J1718" s="1079"/>
      <c r="K1718" s="1079"/>
      <c r="L1718" s="1079"/>
      <c r="M1718" s="1079"/>
      <c r="N1718" s="1079"/>
      <c r="O1718" s="1079"/>
      <c r="P1718" s="1079"/>
      <c r="Q1718" s="1079"/>
      <c r="R1718" s="1079"/>
      <c r="S1718" s="1079"/>
      <c r="T1718" s="1079"/>
      <c r="U1718" s="1079"/>
      <c r="V1718" s="1079"/>
      <c r="W1718" s="1079">
        <v>17.5</v>
      </c>
      <c r="X1718" s="1079">
        <v>4.7</v>
      </c>
      <c r="Y1718" s="1079">
        <v>16.5</v>
      </c>
      <c r="Z1718" s="1079">
        <v>2.9</v>
      </c>
      <c r="AA1718" s="1079"/>
      <c r="AB1718" s="1079"/>
      <c r="AC1718" s="1079"/>
      <c r="AD1718" s="1080"/>
    </row>
    <row r="1719" spans="1:30" x14ac:dyDescent="0.2">
      <c r="A1719">
        <f t="shared" si="60"/>
        <v>46</v>
      </c>
      <c r="B1719">
        <v>1710</v>
      </c>
      <c r="C1719" s="1078">
        <v>3</v>
      </c>
      <c r="D1719" s="1077" t="s">
        <v>3604</v>
      </c>
      <c r="E1719" s="1077" t="s">
        <v>4340</v>
      </c>
      <c r="F1719" s="1079" t="s">
        <v>3914</v>
      </c>
      <c r="G1719" s="1079"/>
      <c r="H1719" s="1079"/>
      <c r="I1719" s="1079"/>
      <c r="J1719" s="1079"/>
      <c r="K1719" s="1079"/>
      <c r="L1719" s="1079"/>
      <c r="M1719" s="1079"/>
      <c r="N1719" s="1079"/>
      <c r="O1719" s="1079"/>
      <c r="P1719" s="1079"/>
      <c r="Q1719" s="1079"/>
      <c r="R1719" s="1079"/>
      <c r="S1719" s="1079"/>
      <c r="T1719" s="1079"/>
      <c r="U1719" s="1079"/>
      <c r="V1719" s="1079"/>
      <c r="W1719" s="1079">
        <v>21.3</v>
      </c>
      <c r="X1719" s="1079">
        <v>4.4000000000000004</v>
      </c>
      <c r="Y1719" s="1079">
        <v>20.399999999999999</v>
      </c>
      <c r="Z1719" s="1079">
        <v>2.8</v>
      </c>
      <c r="AA1719" s="1079"/>
      <c r="AB1719" s="1079"/>
      <c r="AC1719" s="1079"/>
      <c r="AD1719" s="1080"/>
    </row>
    <row r="1720" spans="1:30" x14ac:dyDescent="0.2">
      <c r="A1720">
        <f t="shared" si="60"/>
        <v>46</v>
      </c>
      <c r="B1720">
        <v>1711</v>
      </c>
      <c r="C1720" s="1078">
        <v>3</v>
      </c>
      <c r="D1720" s="1077" t="s">
        <v>3604</v>
      </c>
      <c r="E1720" s="1077" t="s">
        <v>4341</v>
      </c>
      <c r="F1720" s="1079" t="s">
        <v>3914</v>
      </c>
      <c r="G1720" s="1079"/>
      <c r="H1720" s="1079"/>
      <c r="I1720" s="1079"/>
      <c r="J1720" s="1079"/>
      <c r="K1720" s="1079"/>
      <c r="L1720" s="1079"/>
      <c r="M1720" s="1079"/>
      <c r="N1720" s="1079"/>
      <c r="O1720" s="1079"/>
      <c r="P1720" s="1079"/>
      <c r="Q1720" s="1079"/>
      <c r="R1720" s="1079"/>
      <c r="S1720" s="1079"/>
      <c r="T1720" s="1079"/>
      <c r="U1720" s="1079"/>
      <c r="V1720" s="1079"/>
      <c r="W1720" s="1079">
        <v>21.3</v>
      </c>
      <c r="X1720" s="1079">
        <v>4.4000000000000004</v>
      </c>
      <c r="Y1720" s="1079">
        <v>20.399999999999999</v>
      </c>
      <c r="Z1720" s="1079">
        <v>2.8</v>
      </c>
      <c r="AA1720" s="1079"/>
      <c r="AB1720" s="1079"/>
      <c r="AC1720" s="1079"/>
      <c r="AD1720" s="1080"/>
    </row>
    <row r="1721" spans="1:30" x14ac:dyDescent="0.2">
      <c r="A1721">
        <f t="shared" si="60"/>
        <v>46</v>
      </c>
      <c r="B1721">
        <v>1712</v>
      </c>
      <c r="C1721" s="1078">
        <v>3</v>
      </c>
      <c r="D1721" s="1077" t="s">
        <v>3604</v>
      </c>
      <c r="E1721" s="1077" t="s">
        <v>4342</v>
      </c>
      <c r="F1721" s="1079" t="s">
        <v>3914</v>
      </c>
      <c r="G1721" s="1079"/>
      <c r="H1721" s="1079"/>
      <c r="I1721" s="1079"/>
      <c r="J1721" s="1079"/>
      <c r="K1721" s="1079"/>
      <c r="L1721" s="1079"/>
      <c r="M1721" s="1079"/>
      <c r="N1721" s="1079"/>
      <c r="O1721" s="1079"/>
      <c r="P1721" s="1079"/>
      <c r="Q1721" s="1079"/>
      <c r="R1721" s="1079"/>
      <c r="S1721" s="1079"/>
      <c r="T1721" s="1079"/>
      <c r="U1721" s="1079"/>
      <c r="V1721" s="1079"/>
      <c r="W1721" s="1079">
        <v>26.7</v>
      </c>
      <c r="X1721" s="1079">
        <v>4.9000000000000004</v>
      </c>
      <c r="Y1721" s="1079">
        <v>24.7</v>
      </c>
      <c r="Z1721" s="1079">
        <v>3.1</v>
      </c>
      <c r="AA1721" s="1079"/>
      <c r="AB1721" s="1079"/>
      <c r="AC1721" s="1079"/>
      <c r="AD1721" s="1080"/>
    </row>
    <row r="1722" spans="1:30" x14ac:dyDescent="0.2">
      <c r="A1722">
        <f t="shared" si="60"/>
        <v>46</v>
      </c>
      <c r="B1722">
        <v>1713</v>
      </c>
      <c r="C1722" s="1078">
        <v>3</v>
      </c>
      <c r="D1722" s="1077" t="s">
        <v>3604</v>
      </c>
      <c r="E1722" s="1077" t="s">
        <v>4343</v>
      </c>
      <c r="F1722" s="1079" t="s">
        <v>3914</v>
      </c>
      <c r="G1722" s="1079"/>
      <c r="H1722" s="1079"/>
      <c r="I1722" s="1079"/>
      <c r="J1722" s="1079"/>
      <c r="K1722" s="1079"/>
      <c r="L1722" s="1079"/>
      <c r="M1722" s="1079"/>
      <c r="N1722" s="1079"/>
      <c r="O1722" s="1079"/>
      <c r="P1722" s="1079"/>
      <c r="Q1722" s="1079"/>
      <c r="R1722" s="1079"/>
      <c r="S1722" s="1079"/>
      <c r="T1722" s="1079"/>
      <c r="U1722" s="1079"/>
      <c r="V1722" s="1079"/>
      <c r="W1722" s="1079">
        <v>26.7</v>
      </c>
      <c r="X1722" s="1079">
        <v>4.9000000000000004</v>
      </c>
      <c r="Y1722" s="1079">
        <v>24.7</v>
      </c>
      <c r="Z1722" s="1079">
        <v>3.1</v>
      </c>
      <c r="AA1722" s="1079"/>
      <c r="AB1722" s="1079"/>
      <c r="AC1722" s="1079"/>
      <c r="AD1722" s="1080"/>
    </row>
    <row r="1723" spans="1:30" x14ac:dyDescent="0.2">
      <c r="A1723">
        <f t="shared" si="60"/>
        <v>46</v>
      </c>
      <c r="B1723">
        <v>1714</v>
      </c>
      <c r="C1723" s="1078">
        <v>3</v>
      </c>
      <c r="D1723" s="1077" t="s">
        <v>3604</v>
      </c>
      <c r="E1723" s="1077" t="s">
        <v>4344</v>
      </c>
      <c r="F1723" s="1079" t="s">
        <v>3914</v>
      </c>
      <c r="G1723" s="1079"/>
      <c r="H1723" s="1079"/>
      <c r="I1723" s="1079"/>
      <c r="J1723" s="1079"/>
      <c r="K1723" s="1079"/>
      <c r="L1723" s="1079"/>
      <c r="M1723" s="1079"/>
      <c r="N1723" s="1079"/>
      <c r="O1723" s="1079"/>
      <c r="P1723" s="1079"/>
      <c r="Q1723" s="1079"/>
      <c r="R1723" s="1079"/>
      <c r="S1723" s="1079"/>
      <c r="T1723" s="1079"/>
      <c r="U1723" s="1079"/>
      <c r="V1723" s="1079"/>
      <c r="W1723" s="1079">
        <v>30.3</v>
      </c>
      <c r="X1723" s="1079">
        <v>4.4000000000000004</v>
      </c>
      <c r="Y1723" s="1079">
        <v>27.4</v>
      </c>
      <c r="Z1723" s="1079">
        <v>2.6</v>
      </c>
      <c r="AA1723" s="1079"/>
      <c r="AB1723" s="1079"/>
      <c r="AC1723" s="1079"/>
      <c r="AD1723" s="1080"/>
    </row>
    <row r="1724" spans="1:30" x14ac:dyDescent="0.2">
      <c r="A1724">
        <f t="shared" si="60"/>
        <v>46</v>
      </c>
      <c r="B1724">
        <v>1715</v>
      </c>
      <c r="C1724" s="1078">
        <v>3</v>
      </c>
      <c r="D1724" s="1077" t="s">
        <v>3604</v>
      </c>
      <c r="E1724" s="1077" t="s">
        <v>4345</v>
      </c>
      <c r="F1724" s="1079" t="s">
        <v>3914</v>
      </c>
      <c r="G1724" s="1079"/>
      <c r="H1724" s="1079"/>
      <c r="I1724" s="1079"/>
      <c r="J1724" s="1079"/>
      <c r="K1724" s="1079"/>
      <c r="L1724" s="1079"/>
      <c r="M1724" s="1079"/>
      <c r="N1724" s="1079"/>
      <c r="O1724" s="1079"/>
      <c r="P1724" s="1079"/>
      <c r="Q1724" s="1079"/>
      <c r="R1724" s="1079"/>
      <c r="S1724" s="1079"/>
      <c r="T1724" s="1079"/>
      <c r="U1724" s="1079"/>
      <c r="V1724" s="1079"/>
      <c r="W1724" s="1079">
        <v>30.3</v>
      </c>
      <c r="X1724" s="1079">
        <v>4.4000000000000004</v>
      </c>
      <c r="Y1724" s="1079">
        <v>27.4</v>
      </c>
      <c r="Z1724" s="1079">
        <v>2.6</v>
      </c>
      <c r="AA1724" s="1079"/>
      <c r="AB1724" s="1079"/>
      <c r="AC1724" s="1079"/>
      <c r="AD1724" s="1080"/>
    </row>
    <row r="1725" spans="1:30" x14ac:dyDescent="0.2">
      <c r="A1725">
        <f t="shared" si="60"/>
        <v>46</v>
      </c>
      <c r="B1725">
        <v>1716</v>
      </c>
      <c r="C1725" s="1078">
        <v>3</v>
      </c>
      <c r="D1725" s="1077" t="s">
        <v>3604</v>
      </c>
      <c r="E1725" s="1077" t="s">
        <v>4346</v>
      </c>
      <c r="F1725" s="1079" t="s">
        <v>3914</v>
      </c>
      <c r="G1725" s="1079"/>
      <c r="H1725" s="1079"/>
      <c r="I1725" s="1079"/>
      <c r="J1725" s="1079"/>
      <c r="K1725" s="1079"/>
      <c r="L1725" s="1079"/>
      <c r="M1725" s="1079"/>
      <c r="N1725" s="1079"/>
      <c r="O1725" s="1079"/>
      <c r="P1725" s="1079"/>
      <c r="Q1725" s="1079"/>
      <c r="R1725" s="1079"/>
      <c r="S1725" s="1079"/>
      <c r="T1725" s="1079"/>
      <c r="U1725" s="1079"/>
      <c r="V1725" s="1079"/>
      <c r="W1725" s="1079">
        <v>34.200000000000003</v>
      </c>
      <c r="X1725" s="1079">
        <v>4.0999999999999996</v>
      </c>
      <c r="Y1725" s="1079">
        <v>29.2</v>
      </c>
      <c r="Z1725" s="1079">
        <v>2.5</v>
      </c>
      <c r="AA1725" s="1079"/>
      <c r="AB1725" s="1079"/>
      <c r="AC1725" s="1079"/>
      <c r="AD1725" s="1080"/>
    </row>
    <row r="1726" spans="1:30" x14ac:dyDescent="0.2">
      <c r="A1726">
        <f t="shared" si="60"/>
        <v>46</v>
      </c>
      <c r="B1726">
        <v>1717</v>
      </c>
      <c r="C1726" s="1078">
        <v>3</v>
      </c>
      <c r="D1726" s="1077" t="s">
        <v>3604</v>
      </c>
      <c r="E1726" s="1077" t="s">
        <v>4347</v>
      </c>
      <c r="F1726" s="1079" t="s">
        <v>3914</v>
      </c>
      <c r="G1726" s="1079"/>
      <c r="H1726" s="1079"/>
      <c r="I1726" s="1079"/>
      <c r="J1726" s="1079"/>
      <c r="K1726" s="1079"/>
      <c r="L1726" s="1079"/>
      <c r="M1726" s="1079"/>
      <c r="N1726" s="1079"/>
      <c r="O1726" s="1079"/>
      <c r="P1726" s="1079"/>
      <c r="Q1726" s="1079"/>
      <c r="R1726" s="1079"/>
      <c r="S1726" s="1079"/>
      <c r="T1726" s="1079"/>
      <c r="U1726" s="1079"/>
      <c r="V1726" s="1079"/>
      <c r="W1726" s="1079">
        <v>34.200000000000003</v>
      </c>
      <c r="X1726" s="1079">
        <v>4.0999999999999996</v>
      </c>
      <c r="Y1726" s="1079">
        <v>29.2</v>
      </c>
      <c r="Z1726" s="1079">
        <v>2.5</v>
      </c>
      <c r="AA1726" s="1079"/>
      <c r="AB1726" s="1079"/>
      <c r="AC1726" s="1079"/>
      <c r="AD1726" s="1080"/>
    </row>
    <row r="1727" spans="1:30" x14ac:dyDescent="0.2">
      <c r="A1727">
        <f t="shared" si="60"/>
        <v>46</v>
      </c>
      <c r="B1727">
        <v>1718</v>
      </c>
      <c r="C1727" s="1078">
        <v>3</v>
      </c>
      <c r="D1727" s="1077" t="s">
        <v>3604</v>
      </c>
      <c r="E1727" s="1077" t="s">
        <v>4348</v>
      </c>
      <c r="F1727" s="1079" t="s">
        <v>3914</v>
      </c>
      <c r="G1727" s="1079"/>
      <c r="H1727" s="1079"/>
      <c r="I1727" s="1079"/>
      <c r="J1727" s="1079"/>
      <c r="K1727" s="1079"/>
      <c r="L1727" s="1079"/>
      <c r="M1727" s="1079"/>
      <c r="N1727" s="1079"/>
      <c r="O1727" s="1079"/>
      <c r="P1727" s="1079"/>
      <c r="Q1727" s="1079"/>
      <c r="R1727" s="1079"/>
      <c r="S1727" s="1079"/>
      <c r="T1727" s="1079"/>
      <c r="U1727" s="1079"/>
      <c r="V1727" s="1079"/>
      <c r="W1727" s="1079">
        <v>34.799999999999997</v>
      </c>
      <c r="X1727" s="1079">
        <v>4.8</v>
      </c>
      <c r="Y1727" s="1079">
        <v>32.1</v>
      </c>
      <c r="Z1727" s="1079">
        <v>3</v>
      </c>
      <c r="AA1727" s="1079"/>
      <c r="AB1727" s="1079"/>
      <c r="AC1727" s="1079"/>
      <c r="AD1727" s="1080"/>
    </row>
    <row r="1728" spans="1:30" x14ac:dyDescent="0.2">
      <c r="A1728">
        <f t="shared" si="60"/>
        <v>46</v>
      </c>
      <c r="B1728">
        <v>1719</v>
      </c>
      <c r="C1728" s="1078">
        <v>3</v>
      </c>
      <c r="D1728" s="1077" t="s">
        <v>3604</v>
      </c>
      <c r="E1728" s="1077" t="s">
        <v>4349</v>
      </c>
      <c r="F1728" s="1079" t="s">
        <v>3914</v>
      </c>
      <c r="G1728" s="1079"/>
      <c r="H1728" s="1079"/>
      <c r="I1728" s="1079"/>
      <c r="J1728" s="1079"/>
      <c r="K1728" s="1079"/>
      <c r="L1728" s="1079"/>
      <c r="M1728" s="1079"/>
      <c r="N1728" s="1079"/>
      <c r="O1728" s="1079"/>
      <c r="P1728" s="1079"/>
      <c r="Q1728" s="1079"/>
      <c r="R1728" s="1079"/>
      <c r="S1728" s="1079"/>
      <c r="T1728" s="1079"/>
      <c r="U1728" s="1079"/>
      <c r="V1728" s="1079"/>
      <c r="W1728" s="1079">
        <v>34.799999999999997</v>
      </c>
      <c r="X1728" s="1079">
        <v>4.8</v>
      </c>
      <c r="Y1728" s="1079">
        <v>32.1</v>
      </c>
      <c r="Z1728" s="1079">
        <v>3</v>
      </c>
      <c r="AA1728" s="1079"/>
      <c r="AB1728" s="1079"/>
      <c r="AC1728" s="1079"/>
      <c r="AD1728" s="1080"/>
    </row>
    <row r="1729" spans="1:30" x14ac:dyDescent="0.2">
      <c r="A1729">
        <f t="shared" si="60"/>
        <v>46</v>
      </c>
      <c r="B1729">
        <v>1720</v>
      </c>
      <c r="C1729" s="1078">
        <v>3</v>
      </c>
      <c r="D1729" s="1077" t="s">
        <v>3604</v>
      </c>
      <c r="E1729" s="1077" t="s">
        <v>4350</v>
      </c>
      <c r="F1729" s="1079" t="s">
        <v>3914</v>
      </c>
      <c r="G1729" s="1079"/>
      <c r="H1729" s="1079"/>
      <c r="I1729" s="1079"/>
      <c r="J1729" s="1079"/>
      <c r="K1729" s="1079"/>
      <c r="L1729" s="1079"/>
      <c r="M1729" s="1079"/>
      <c r="N1729" s="1079"/>
      <c r="O1729" s="1079"/>
      <c r="P1729" s="1079"/>
      <c r="Q1729" s="1079"/>
      <c r="R1729" s="1079"/>
      <c r="S1729" s="1079"/>
      <c r="T1729" s="1079"/>
      <c r="U1729" s="1079"/>
      <c r="V1729" s="1079"/>
      <c r="W1729" s="1079">
        <v>35.5</v>
      </c>
      <c r="X1729" s="1079">
        <v>4.4000000000000004</v>
      </c>
      <c r="Y1729" s="1079">
        <v>31.9</v>
      </c>
      <c r="Z1729" s="1079">
        <v>2.6</v>
      </c>
      <c r="AA1729" s="1079"/>
      <c r="AB1729" s="1079"/>
      <c r="AC1729" s="1079"/>
      <c r="AD1729" s="1080"/>
    </row>
    <row r="1730" spans="1:30" x14ac:dyDescent="0.2">
      <c r="A1730">
        <f t="shared" si="60"/>
        <v>46</v>
      </c>
      <c r="B1730">
        <v>1721</v>
      </c>
      <c r="C1730" s="1078">
        <v>3</v>
      </c>
      <c r="D1730" s="1077" t="s">
        <v>3604</v>
      </c>
      <c r="E1730" s="1077" t="s">
        <v>4351</v>
      </c>
      <c r="F1730" s="1079" t="s">
        <v>3914</v>
      </c>
      <c r="G1730" s="1079"/>
      <c r="H1730" s="1079"/>
      <c r="I1730" s="1079"/>
      <c r="J1730" s="1079"/>
      <c r="K1730" s="1079"/>
      <c r="L1730" s="1079"/>
      <c r="M1730" s="1079"/>
      <c r="N1730" s="1079"/>
      <c r="O1730" s="1079"/>
      <c r="P1730" s="1079"/>
      <c r="Q1730" s="1079"/>
      <c r="R1730" s="1079"/>
      <c r="S1730" s="1079"/>
      <c r="T1730" s="1079"/>
      <c r="U1730" s="1079"/>
      <c r="V1730" s="1079"/>
      <c r="W1730" s="1079">
        <v>45.8</v>
      </c>
      <c r="X1730" s="1079">
        <v>4.3</v>
      </c>
      <c r="Y1730" s="1079">
        <v>41.3</v>
      </c>
      <c r="Z1730" s="1079">
        <v>2.5</v>
      </c>
      <c r="AA1730" s="1079"/>
      <c r="AB1730" s="1079"/>
      <c r="AC1730" s="1079"/>
      <c r="AD1730" s="1080"/>
    </row>
    <row r="1731" spans="1:30" x14ac:dyDescent="0.2">
      <c r="A1731">
        <f t="shared" si="60"/>
        <v>46</v>
      </c>
      <c r="B1731">
        <v>1722</v>
      </c>
      <c r="C1731" s="1078">
        <v>3</v>
      </c>
      <c r="D1731" s="1077" t="s">
        <v>3604</v>
      </c>
      <c r="E1731" s="1077" t="s">
        <v>4352</v>
      </c>
      <c r="F1731" s="1079" t="s">
        <v>3914</v>
      </c>
      <c r="G1731" s="1079"/>
      <c r="H1731" s="1079"/>
      <c r="I1731" s="1079"/>
      <c r="J1731" s="1079"/>
      <c r="K1731" s="1079"/>
      <c r="L1731" s="1079"/>
      <c r="M1731" s="1079"/>
      <c r="N1731" s="1079"/>
      <c r="O1731" s="1079"/>
      <c r="P1731" s="1079"/>
      <c r="Q1731" s="1079"/>
      <c r="R1731" s="1079"/>
      <c r="S1731" s="1079"/>
      <c r="T1731" s="1079"/>
      <c r="U1731" s="1079"/>
      <c r="V1731" s="1079"/>
      <c r="W1731" s="1079">
        <v>45.8</v>
      </c>
      <c r="X1731" s="1079">
        <v>4.3</v>
      </c>
      <c r="Y1731" s="1079">
        <v>41.3</v>
      </c>
      <c r="Z1731" s="1079">
        <v>2.5</v>
      </c>
      <c r="AA1731" s="1079"/>
      <c r="AB1731" s="1079"/>
      <c r="AC1731" s="1079"/>
      <c r="AD1731" s="1080"/>
    </row>
    <row r="1732" spans="1:30" x14ac:dyDescent="0.2">
      <c r="A1732">
        <f t="shared" si="60"/>
        <v>46</v>
      </c>
      <c r="B1732">
        <v>1723</v>
      </c>
      <c r="C1732" s="1078">
        <v>3</v>
      </c>
      <c r="D1732" s="1077" t="s">
        <v>3604</v>
      </c>
      <c r="E1732" s="1077" t="s">
        <v>4353</v>
      </c>
      <c r="F1732" s="1079" t="s">
        <v>3914</v>
      </c>
      <c r="G1732" s="1079"/>
      <c r="H1732" s="1079"/>
      <c r="I1732" s="1079"/>
      <c r="J1732" s="1079"/>
      <c r="K1732" s="1079"/>
      <c r="L1732" s="1079"/>
      <c r="M1732" s="1079"/>
      <c r="N1732" s="1079"/>
      <c r="O1732" s="1079"/>
      <c r="P1732" s="1079"/>
      <c r="Q1732" s="1079"/>
      <c r="R1732" s="1079"/>
      <c r="S1732" s="1079"/>
      <c r="T1732" s="1079"/>
      <c r="U1732" s="1079"/>
      <c r="V1732" s="1079"/>
      <c r="W1732" s="1079">
        <v>52</v>
      </c>
      <c r="X1732" s="1079">
        <v>5</v>
      </c>
      <c r="Y1732" s="1079">
        <v>44.1</v>
      </c>
      <c r="Z1732" s="1079">
        <v>2.8</v>
      </c>
      <c r="AA1732" s="1079"/>
      <c r="AB1732" s="1079"/>
      <c r="AC1732" s="1079"/>
      <c r="AD1732" s="1080"/>
    </row>
    <row r="1733" spans="1:30" x14ac:dyDescent="0.2">
      <c r="A1733">
        <f t="shared" si="60"/>
        <v>46</v>
      </c>
      <c r="B1733">
        <v>1724</v>
      </c>
      <c r="C1733" s="1078">
        <v>3</v>
      </c>
      <c r="D1733" s="1077" t="s">
        <v>3604</v>
      </c>
      <c r="E1733" s="1077" t="s">
        <v>4354</v>
      </c>
      <c r="F1733" s="1079" t="s">
        <v>3914</v>
      </c>
      <c r="G1733" s="1079"/>
      <c r="H1733" s="1079"/>
      <c r="I1733" s="1079"/>
      <c r="J1733" s="1079"/>
      <c r="K1733" s="1079"/>
      <c r="L1733" s="1079"/>
      <c r="M1733" s="1079"/>
      <c r="N1733" s="1079"/>
      <c r="O1733" s="1079"/>
      <c r="P1733" s="1079"/>
      <c r="Q1733" s="1079"/>
      <c r="R1733" s="1079"/>
      <c r="S1733" s="1079"/>
      <c r="T1733" s="1079"/>
      <c r="U1733" s="1079"/>
      <c r="V1733" s="1079"/>
      <c r="W1733" s="1079">
        <v>52</v>
      </c>
      <c r="X1733" s="1079">
        <v>5</v>
      </c>
      <c r="Y1733" s="1079">
        <v>44.1</v>
      </c>
      <c r="Z1733" s="1079">
        <v>2.8</v>
      </c>
      <c r="AA1733" s="1079"/>
      <c r="AB1733" s="1079"/>
      <c r="AC1733" s="1079"/>
      <c r="AD1733" s="1080"/>
    </row>
    <row r="1734" spans="1:30" x14ac:dyDescent="0.2">
      <c r="A1734">
        <f t="shared" si="60"/>
        <v>46</v>
      </c>
      <c r="B1734">
        <v>1725</v>
      </c>
      <c r="C1734" s="1078">
        <v>3</v>
      </c>
      <c r="D1734" s="1077" t="s">
        <v>3604</v>
      </c>
      <c r="E1734" s="1077" t="s">
        <v>4355</v>
      </c>
      <c r="F1734" s="1079" t="s">
        <v>3914</v>
      </c>
      <c r="G1734" s="1079"/>
      <c r="H1734" s="1079"/>
      <c r="I1734" s="1079"/>
      <c r="J1734" s="1079"/>
      <c r="K1734" s="1079"/>
      <c r="L1734" s="1079"/>
      <c r="M1734" s="1079"/>
      <c r="N1734" s="1079"/>
      <c r="O1734" s="1079"/>
      <c r="P1734" s="1079"/>
      <c r="Q1734" s="1079"/>
      <c r="R1734" s="1079"/>
      <c r="S1734" s="1079"/>
      <c r="T1734" s="1079"/>
      <c r="U1734" s="1079"/>
      <c r="V1734" s="1079"/>
      <c r="W1734" s="1079">
        <v>73.5</v>
      </c>
      <c r="X1734" s="1079">
        <v>4.8</v>
      </c>
      <c r="Y1734" s="1079">
        <v>67.3</v>
      </c>
      <c r="Z1734" s="1079">
        <v>3</v>
      </c>
      <c r="AA1734" s="1079"/>
      <c r="AB1734" s="1079"/>
      <c r="AC1734" s="1079"/>
      <c r="AD1734" s="1080"/>
    </row>
    <row r="1735" spans="1:30" x14ac:dyDescent="0.2">
      <c r="A1735">
        <f t="shared" si="60"/>
        <v>46</v>
      </c>
      <c r="B1735">
        <v>1726</v>
      </c>
      <c r="C1735" s="1078">
        <v>3</v>
      </c>
      <c r="D1735" s="1077" t="s">
        <v>3604</v>
      </c>
      <c r="E1735" s="1077" t="s">
        <v>4356</v>
      </c>
      <c r="F1735" s="1079" t="s">
        <v>3914</v>
      </c>
      <c r="G1735" s="1079"/>
      <c r="H1735" s="1079"/>
      <c r="I1735" s="1079"/>
      <c r="J1735" s="1079"/>
      <c r="K1735" s="1079"/>
      <c r="L1735" s="1079"/>
      <c r="M1735" s="1079"/>
      <c r="N1735" s="1079"/>
      <c r="O1735" s="1079"/>
      <c r="P1735" s="1079"/>
      <c r="Q1735" s="1079"/>
      <c r="R1735" s="1079"/>
      <c r="S1735" s="1079"/>
      <c r="T1735" s="1079"/>
      <c r="U1735" s="1079"/>
      <c r="V1735" s="1079"/>
      <c r="W1735" s="1079">
        <v>73.599999999999994</v>
      </c>
      <c r="X1735" s="1079">
        <v>4.8</v>
      </c>
      <c r="Y1735" s="1079">
        <v>67.3</v>
      </c>
      <c r="Z1735" s="1079">
        <v>3</v>
      </c>
      <c r="AA1735" s="1079"/>
      <c r="AB1735" s="1079"/>
      <c r="AC1735" s="1079"/>
      <c r="AD1735" s="1080"/>
    </row>
    <row r="1736" spans="1:30" x14ac:dyDescent="0.2">
      <c r="A1736">
        <f t="shared" si="60"/>
        <v>46</v>
      </c>
      <c r="B1736">
        <v>1727</v>
      </c>
      <c r="C1736" s="1078">
        <v>3</v>
      </c>
      <c r="D1736" s="1077" t="s">
        <v>3604</v>
      </c>
      <c r="E1736" s="1077" t="s">
        <v>4357</v>
      </c>
      <c r="F1736" s="1079" t="s">
        <v>3914</v>
      </c>
      <c r="G1736" s="1079"/>
      <c r="H1736" s="1079"/>
      <c r="I1736" s="1079"/>
      <c r="J1736" s="1079"/>
      <c r="K1736" s="1079"/>
      <c r="L1736" s="1079"/>
      <c r="M1736" s="1079"/>
      <c r="N1736" s="1079"/>
      <c r="O1736" s="1079"/>
      <c r="P1736" s="1079"/>
      <c r="Q1736" s="1079"/>
      <c r="R1736" s="1079"/>
      <c r="S1736" s="1079"/>
      <c r="T1736" s="1079"/>
      <c r="U1736" s="1079"/>
      <c r="V1736" s="1079"/>
      <c r="W1736" s="1079">
        <v>92.3</v>
      </c>
      <c r="X1736" s="1079">
        <v>4.4000000000000004</v>
      </c>
      <c r="Y1736" s="1079">
        <v>85.2</v>
      </c>
      <c r="Z1736" s="1079">
        <v>2.7</v>
      </c>
      <c r="AA1736" s="1079"/>
      <c r="AB1736" s="1079"/>
      <c r="AC1736" s="1079"/>
      <c r="AD1736" s="1080"/>
    </row>
    <row r="1737" spans="1:30" x14ac:dyDescent="0.2">
      <c r="A1737">
        <f t="shared" si="60"/>
        <v>46</v>
      </c>
      <c r="B1737">
        <v>1728</v>
      </c>
      <c r="C1737" s="1078">
        <v>3</v>
      </c>
      <c r="D1737" s="1077" t="s">
        <v>3604</v>
      </c>
      <c r="E1737" s="1077" t="s">
        <v>4358</v>
      </c>
      <c r="F1737" s="1079" t="s">
        <v>3914</v>
      </c>
      <c r="G1737" s="1079"/>
      <c r="H1737" s="1079"/>
      <c r="I1737" s="1079"/>
      <c r="J1737" s="1079"/>
      <c r="K1737" s="1079"/>
      <c r="L1737" s="1079"/>
      <c r="M1737" s="1079"/>
      <c r="N1737" s="1079"/>
      <c r="O1737" s="1079"/>
      <c r="P1737" s="1079"/>
      <c r="Q1737" s="1079"/>
      <c r="R1737" s="1079"/>
      <c r="S1737" s="1079"/>
      <c r="T1737" s="1079"/>
      <c r="U1737" s="1079"/>
      <c r="V1737" s="1079"/>
      <c r="W1737" s="1079">
        <v>92.3</v>
      </c>
      <c r="X1737" s="1079">
        <v>4.4000000000000004</v>
      </c>
      <c r="Y1737" s="1079">
        <v>85.2</v>
      </c>
      <c r="Z1737" s="1079">
        <v>2.6</v>
      </c>
      <c r="AA1737" s="1079"/>
      <c r="AB1737" s="1079"/>
      <c r="AC1737" s="1079"/>
      <c r="AD1737" s="1080"/>
    </row>
    <row r="1738" spans="1:30" x14ac:dyDescent="0.2">
      <c r="A1738">
        <f t="shared" si="60"/>
        <v>46</v>
      </c>
      <c r="B1738">
        <v>1729</v>
      </c>
      <c r="C1738" s="1078">
        <v>4</v>
      </c>
      <c r="D1738" s="1077" t="s">
        <v>3604</v>
      </c>
      <c r="E1738" s="1077" t="s">
        <v>4359</v>
      </c>
      <c r="F1738" s="1079" t="s">
        <v>3913</v>
      </c>
      <c r="G1738" s="1079"/>
      <c r="H1738" s="1079"/>
      <c r="I1738" s="1079"/>
      <c r="J1738" s="1079"/>
      <c r="K1738" s="1079"/>
      <c r="L1738" s="1079"/>
      <c r="M1738" s="1079"/>
      <c r="N1738" s="1079"/>
      <c r="O1738" s="1079"/>
      <c r="P1738" s="1079"/>
      <c r="Q1738" s="1079"/>
      <c r="R1738" s="1079"/>
      <c r="S1738" s="1079"/>
      <c r="T1738" s="1079"/>
      <c r="U1738" s="1079"/>
      <c r="V1738" s="1079"/>
      <c r="W1738" s="1079"/>
      <c r="X1738" s="1079"/>
      <c r="Y1738" s="1079"/>
      <c r="Z1738" s="1079"/>
      <c r="AA1738" s="1079">
        <v>9.6999999999999993</v>
      </c>
      <c r="AB1738" s="1079">
        <v>5.9</v>
      </c>
      <c r="AC1738" s="1079">
        <v>8.4</v>
      </c>
      <c r="AD1738" s="1080">
        <v>3.2</v>
      </c>
    </row>
    <row r="1739" spans="1:30" x14ac:dyDescent="0.2">
      <c r="A1739">
        <f t="shared" si="60"/>
        <v>46</v>
      </c>
      <c r="B1739">
        <v>1730</v>
      </c>
      <c r="C1739" s="1078">
        <v>4</v>
      </c>
      <c r="D1739" s="1077" t="s">
        <v>3604</v>
      </c>
      <c r="E1739" s="1077" t="s">
        <v>4360</v>
      </c>
      <c r="F1739" s="1079" t="s">
        <v>3913</v>
      </c>
      <c r="G1739" s="1079"/>
      <c r="H1739" s="1079"/>
      <c r="I1739" s="1079"/>
      <c r="J1739" s="1079"/>
      <c r="K1739" s="1079"/>
      <c r="L1739" s="1079"/>
      <c r="M1739" s="1079"/>
      <c r="N1739" s="1079"/>
      <c r="O1739" s="1079"/>
      <c r="P1739" s="1079"/>
      <c r="Q1739" s="1079"/>
      <c r="R1739" s="1079"/>
      <c r="S1739" s="1079"/>
      <c r="T1739" s="1079"/>
      <c r="U1739" s="1079"/>
      <c r="V1739" s="1079"/>
      <c r="W1739" s="1079"/>
      <c r="X1739" s="1079"/>
      <c r="Y1739" s="1079"/>
      <c r="Z1739" s="1079"/>
      <c r="AA1739" s="1079">
        <v>9.6999999999999993</v>
      </c>
      <c r="AB1739" s="1079">
        <v>5.9</v>
      </c>
      <c r="AC1739" s="1079">
        <v>8.4</v>
      </c>
      <c r="AD1739" s="1080">
        <v>3.2</v>
      </c>
    </row>
    <row r="1740" spans="1:30" x14ac:dyDescent="0.2">
      <c r="A1740">
        <f t="shared" ref="A1740:A1803" si="61">A1739+(D1740&lt;&gt;D1739)*1</f>
        <v>46</v>
      </c>
      <c r="B1740">
        <v>1731</v>
      </c>
      <c r="C1740" s="1078">
        <v>4</v>
      </c>
      <c r="D1740" s="1077" t="s">
        <v>3604</v>
      </c>
      <c r="E1740" s="1077" t="s">
        <v>4361</v>
      </c>
      <c r="F1740" s="1079" t="s">
        <v>3913</v>
      </c>
      <c r="G1740" s="1079"/>
      <c r="H1740" s="1079"/>
      <c r="I1740" s="1079"/>
      <c r="J1740" s="1079"/>
      <c r="K1740" s="1079"/>
      <c r="L1740" s="1079"/>
      <c r="M1740" s="1079"/>
      <c r="N1740" s="1079"/>
      <c r="O1740" s="1079"/>
      <c r="P1740" s="1079"/>
      <c r="Q1740" s="1079"/>
      <c r="R1740" s="1079"/>
      <c r="S1740" s="1079"/>
      <c r="T1740" s="1079"/>
      <c r="U1740" s="1079"/>
      <c r="V1740" s="1079"/>
      <c r="W1740" s="1079"/>
      <c r="X1740" s="1079"/>
      <c r="Y1740" s="1079"/>
      <c r="Z1740" s="1079"/>
      <c r="AA1740" s="1079">
        <v>13.3</v>
      </c>
      <c r="AB1740" s="1079">
        <v>6.1</v>
      </c>
      <c r="AC1740" s="1079">
        <v>11.5</v>
      </c>
      <c r="AD1740" s="1080">
        <v>3.3</v>
      </c>
    </row>
    <row r="1741" spans="1:30" x14ac:dyDescent="0.2">
      <c r="A1741">
        <f t="shared" si="61"/>
        <v>46</v>
      </c>
      <c r="B1741">
        <v>1732</v>
      </c>
      <c r="C1741" s="1078">
        <v>4</v>
      </c>
      <c r="D1741" s="1077" t="s">
        <v>3604</v>
      </c>
      <c r="E1741" s="1077" t="s">
        <v>4362</v>
      </c>
      <c r="F1741" s="1079" t="s">
        <v>3913</v>
      </c>
      <c r="G1741" s="1079"/>
      <c r="H1741" s="1079"/>
      <c r="I1741" s="1079"/>
      <c r="J1741" s="1079"/>
      <c r="K1741" s="1079"/>
      <c r="L1741" s="1079"/>
      <c r="M1741" s="1079"/>
      <c r="N1741" s="1079"/>
      <c r="O1741" s="1079"/>
      <c r="P1741" s="1079"/>
      <c r="Q1741" s="1079"/>
      <c r="R1741" s="1079"/>
      <c r="S1741" s="1079"/>
      <c r="T1741" s="1079"/>
      <c r="U1741" s="1079"/>
      <c r="V1741" s="1079"/>
      <c r="W1741" s="1079"/>
      <c r="X1741" s="1079"/>
      <c r="Y1741" s="1079"/>
      <c r="Z1741" s="1079"/>
      <c r="AA1741" s="1079">
        <v>13.3</v>
      </c>
      <c r="AB1741" s="1079">
        <v>6.1</v>
      </c>
      <c r="AC1741" s="1079">
        <v>11.5</v>
      </c>
      <c r="AD1741" s="1080">
        <v>3.3</v>
      </c>
    </row>
    <row r="1742" spans="1:30" x14ac:dyDescent="0.2">
      <c r="A1742">
        <f t="shared" si="61"/>
        <v>46</v>
      </c>
      <c r="B1742">
        <v>1733</v>
      </c>
      <c r="C1742" s="1078">
        <v>4</v>
      </c>
      <c r="D1742" s="1077" t="s">
        <v>3604</v>
      </c>
      <c r="E1742" s="1077" t="s">
        <v>4363</v>
      </c>
      <c r="F1742" s="1079" t="s">
        <v>3913</v>
      </c>
      <c r="G1742" s="1079"/>
      <c r="H1742" s="1079"/>
      <c r="I1742" s="1079"/>
      <c r="J1742" s="1079"/>
      <c r="K1742" s="1079"/>
      <c r="L1742" s="1079"/>
      <c r="M1742" s="1079"/>
      <c r="N1742" s="1079"/>
      <c r="O1742" s="1079"/>
      <c r="P1742" s="1079"/>
      <c r="Q1742" s="1079"/>
      <c r="R1742" s="1079"/>
      <c r="S1742" s="1079"/>
      <c r="T1742" s="1079"/>
      <c r="U1742" s="1079"/>
      <c r="V1742" s="1079"/>
      <c r="W1742" s="1079"/>
      <c r="X1742" s="1079"/>
      <c r="Y1742" s="1079"/>
      <c r="Z1742" s="1079"/>
      <c r="AA1742" s="1079">
        <v>17.100000000000001</v>
      </c>
      <c r="AB1742" s="1079">
        <v>5.8</v>
      </c>
      <c r="AC1742" s="1079">
        <v>15.1</v>
      </c>
      <c r="AD1742" s="1080">
        <v>3.6</v>
      </c>
    </row>
    <row r="1743" spans="1:30" x14ac:dyDescent="0.2">
      <c r="A1743">
        <f t="shared" si="61"/>
        <v>46</v>
      </c>
      <c r="B1743">
        <v>1734</v>
      </c>
      <c r="C1743" s="1078">
        <v>4</v>
      </c>
      <c r="D1743" s="1077" t="s">
        <v>3604</v>
      </c>
      <c r="E1743" s="1077" t="s">
        <v>4364</v>
      </c>
      <c r="F1743" s="1079" t="s">
        <v>3913</v>
      </c>
      <c r="G1743" s="1079"/>
      <c r="H1743" s="1079"/>
      <c r="I1743" s="1079"/>
      <c r="J1743" s="1079"/>
      <c r="K1743" s="1079"/>
      <c r="L1743" s="1079"/>
      <c r="M1743" s="1079"/>
      <c r="N1743" s="1079"/>
      <c r="O1743" s="1079"/>
      <c r="P1743" s="1079"/>
      <c r="Q1743" s="1079"/>
      <c r="R1743" s="1079"/>
      <c r="S1743" s="1079"/>
      <c r="T1743" s="1079"/>
      <c r="U1743" s="1079"/>
      <c r="V1743" s="1079"/>
      <c r="W1743" s="1079"/>
      <c r="X1743" s="1079"/>
      <c r="Y1743" s="1079"/>
      <c r="Z1743" s="1079"/>
      <c r="AA1743" s="1079">
        <v>17.100000000000001</v>
      </c>
      <c r="AB1743" s="1079">
        <v>5.8</v>
      </c>
      <c r="AC1743" s="1079">
        <v>15.1</v>
      </c>
      <c r="AD1743" s="1080">
        <v>3.6</v>
      </c>
    </row>
    <row r="1744" spans="1:30" x14ac:dyDescent="0.2">
      <c r="A1744">
        <f t="shared" si="61"/>
        <v>46</v>
      </c>
      <c r="B1744">
        <v>1735</v>
      </c>
      <c r="C1744" s="1078">
        <v>4</v>
      </c>
      <c r="D1744" s="1077" t="s">
        <v>3604</v>
      </c>
      <c r="E1744" s="1077" t="s">
        <v>4365</v>
      </c>
      <c r="F1744" s="1079" t="s">
        <v>3913</v>
      </c>
      <c r="G1744" s="1079"/>
      <c r="H1744" s="1079"/>
      <c r="I1744" s="1079"/>
      <c r="J1744" s="1079"/>
      <c r="K1744" s="1079"/>
      <c r="L1744" s="1079"/>
      <c r="M1744" s="1079"/>
      <c r="N1744" s="1079"/>
      <c r="O1744" s="1079"/>
      <c r="P1744" s="1079"/>
      <c r="Q1744" s="1079"/>
      <c r="R1744" s="1079"/>
      <c r="S1744" s="1079"/>
      <c r="T1744" s="1079"/>
      <c r="U1744" s="1079"/>
      <c r="V1744" s="1079"/>
      <c r="W1744" s="1079"/>
      <c r="X1744" s="1079"/>
      <c r="Y1744" s="1079"/>
      <c r="Z1744" s="1079"/>
      <c r="AA1744" s="1079">
        <v>22.3</v>
      </c>
      <c r="AB1744" s="1079">
        <v>5.7</v>
      </c>
      <c r="AC1744" s="1079">
        <v>20</v>
      </c>
      <c r="AD1744" s="1080">
        <v>3.6</v>
      </c>
    </row>
    <row r="1745" spans="1:30" x14ac:dyDescent="0.2">
      <c r="A1745">
        <f t="shared" si="61"/>
        <v>46</v>
      </c>
      <c r="B1745">
        <v>1736</v>
      </c>
      <c r="C1745" s="1078">
        <v>4</v>
      </c>
      <c r="D1745" s="1077" t="s">
        <v>3604</v>
      </c>
      <c r="E1745" s="1077" t="s">
        <v>4366</v>
      </c>
      <c r="F1745" s="1079" t="s">
        <v>3913</v>
      </c>
      <c r="G1745" s="1079"/>
      <c r="H1745" s="1079"/>
      <c r="I1745" s="1079"/>
      <c r="J1745" s="1079"/>
      <c r="K1745" s="1079"/>
      <c r="L1745" s="1079"/>
      <c r="M1745" s="1079"/>
      <c r="N1745" s="1079"/>
      <c r="O1745" s="1079"/>
      <c r="P1745" s="1079"/>
      <c r="Q1745" s="1079"/>
      <c r="R1745" s="1079"/>
      <c r="S1745" s="1079"/>
      <c r="T1745" s="1079"/>
      <c r="U1745" s="1079"/>
      <c r="V1745" s="1079"/>
      <c r="W1745" s="1079"/>
      <c r="X1745" s="1079"/>
      <c r="Y1745" s="1079"/>
      <c r="Z1745" s="1079"/>
      <c r="AA1745" s="1079">
        <v>22.3</v>
      </c>
      <c r="AB1745" s="1079">
        <v>5.7</v>
      </c>
      <c r="AC1745" s="1079">
        <v>20</v>
      </c>
      <c r="AD1745" s="1080">
        <v>3.6</v>
      </c>
    </row>
    <row r="1746" spans="1:30" x14ac:dyDescent="0.2">
      <c r="A1746">
        <f t="shared" si="61"/>
        <v>46</v>
      </c>
      <c r="B1746">
        <v>1737</v>
      </c>
      <c r="C1746" s="1078">
        <v>4</v>
      </c>
      <c r="D1746" s="1077" t="s">
        <v>3604</v>
      </c>
      <c r="E1746" s="1077" t="s">
        <v>4367</v>
      </c>
      <c r="F1746" s="1079" t="s">
        <v>3914</v>
      </c>
      <c r="G1746" s="1079"/>
      <c r="H1746" s="1079"/>
      <c r="I1746" s="1079"/>
      <c r="J1746" s="1079"/>
      <c r="K1746" s="1079"/>
      <c r="L1746" s="1079"/>
      <c r="M1746" s="1079"/>
      <c r="N1746" s="1079"/>
      <c r="O1746" s="1079"/>
      <c r="P1746" s="1079"/>
      <c r="Q1746" s="1079"/>
      <c r="R1746" s="1079"/>
      <c r="S1746" s="1079"/>
      <c r="T1746" s="1079"/>
      <c r="U1746" s="1079"/>
      <c r="V1746" s="1079"/>
      <c r="W1746" s="1079"/>
      <c r="X1746" s="1079"/>
      <c r="Y1746" s="1079"/>
      <c r="Z1746" s="1079"/>
      <c r="AA1746" s="1079">
        <v>35.6</v>
      </c>
      <c r="AB1746" s="1079">
        <v>6.2</v>
      </c>
      <c r="AC1746" s="1079">
        <v>32.200000000000003</v>
      </c>
      <c r="AD1746" s="1080">
        <v>3.8</v>
      </c>
    </row>
    <row r="1747" spans="1:30" x14ac:dyDescent="0.2">
      <c r="A1747">
        <f t="shared" si="61"/>
        <v>46</v>
      </c>
      <c r="B1747">
        <v>1738</v>
      </c>
      <c r="C1747" s="1078">
        <v>4</v>
      </c>
      <c r="D1747" s="1077" t="s">
        <v>3604</v>
      </c>
      <c r="E1747" s="1077" t="s">
        <v>4368</v>
      </c>
      <c r="F1747" s="1079" t="s">
        <v>3914</v>
      </c>
      <c r="G1747" s="1079"/>
      <c r="H1747" s="1079"/>
      <c r="I1747" s="1079"/>
      <c r="J1747" s="1079"/>
      <c r="K1747" s="1079"/>
      <c r="L1747" s="1079"/>
      <c r="M1747" s="1079"/>
      <c r="N1747" s="1079"/>
      <c r="O1747" s="1079"/>
      <c r="P1747" s="1079"/>
      <c r="Q1747" s="1079"/>
      <c r="R1747" s="1079"/>
      <c r="S1747" s="1079"/>
      <c r="T1747" s="1079"/>
      <c r="U1747" s="1079"/>
      <c r="V1747" s="1079"/>
      <c r="W1747" s="1079"/>
      <c r="X1747" s="1079"/>
      <c r="Y1747" s="1079"/>
      <c r="Z1747" s="1079"/>
      <c r="AA1747" s="1079">
        <v>35.6</v>
      </c>
      <c r="AB1747" s="1079">
        <v>6.2</v>
      </c>
      <c r="AC1747" s="1079">
        <v>32.200000000000003</v>
      </c>
      <c r="AD1747" s="1080">
        <v>3.8</v>
      </c>
    </row>
    <row r="1748" spans="1:30" x14ac:dyDescent="0.2">
      <c r="A1748">
        <f t="shared" si="61"/>
        <v>46</v>
      </c>
      <c r="B1748">
        <v>1739</v>
      </c>
      <c r="C1748" s="1078">
        <v>4</v>
      </c>
      <c r="D1748" s="1077" t="s">
        <v>3604</v>
      </c>
      <c r="E1748" s="1077" t="s">
        <v>4369</v>
      </c>
      <c r="F1748" s="1079" t="s">
        <v>3914</v>
      </c>
      <c r="G1748" s="1079"/>
      <c r="H1748" s="1079"/>
      <c r="I1748" s="1079"/>
      <c r="J1748" s="1079"/>
      <c r="K1748" s="1079"/>
      <c r="L1748" s="1079"/>
      <c r="M1748" s="1079"/>
      <c r="N1748" s="1079"/>
      <c r="O1748" s="1079"/>
      <c r="P1748" s="1079"/>
      <c r="Q1748" s="1079"/>
      <c r="R1748" s="1079"/>
      <c r="S1748" s="1079"/>
      <c r="T1748" s="1079"/>
      <c r="U1748" s="1079"/>
      <c r="V1748" s="1079"/>
      <c r="W1748" s="1079"/>
      <c r="X1748" s="1079"/>
      <c r="Y1748" s="1079"/>
      <c r="Z1748" s="1079"/>
      <c r="AA1748" s="1079">
        <v>46.2</v>
      </c>
      <c r="AB1748" s="1079">
        <v>5.8</v>
      </c>
      <c r="AC1748" s="1079">
        <v>42.5</v>
      </c>
      <c r="AD1748" s="1080">
        <v>3.7</v>
      </c>
    </row>
    <row r="1749" spans="1:30" x14ac:dyDescent="0.2">
      <c r="A1749">
        <f t="shared" si="61"/>
        <v>46</v>
      </c>
      <c r="B1749">
        <v>1740</v>
      </c>
      <c r="C1749" s="1078">
        <v>4</v>
      </c>
      <c r="D1749" s="1077" t="s">
        <v>3604</v>
      </c>
      <c r="E1749" s="1077" t="s">
        <v>4370</v>
      </c>
      <c r="F1749" s="1079" t="s">
        <v>3914</v>
      </c>
      <c r="G1749" s="1079"/>
      <c r="H1749" s="1079"/>
      <c r="I1749" s="1079"/>
      <c r="J1749" s="1079"/>
      <c r="K1749" s="1079"/>
      <c r="L1749" s="1079"/>
      <c r="M1749" s="1079"/>
      <c r="N1749" s="1079"/>
      <c r="O1749" s="1079"/>
      <c r="P1749" s="1079"/>
      <c r="Q1749" s="1079"/>
      <c r="R1749" s="1079"/>
      <c r="S1749" s="1079"/>
      <c r="T1749" s="1079"/>
      <c r="U1749" s="1079"/>
      <c r="V1749" s="1079"/>
      <c r="W1749" s="1079"/>
      <c r="X1749" s="1079"/>
      <c r="Y1749" s="1079"/>
      <c r="Z1749" s="1079"/>
      <c r="AA1749" s="1079">
        <v>46.2</v>
      </c>
      <c r="AB1749" s="1079">
        <v>5.8</v>
      </c>
      <c r="AC1749" s="1079">
        <v>42.5</v>
      </c>
      <c r="AD1749" s="1080">
        <v>3.7</v>
      </c>
    </row>
    <row r="1750" spans="1:30" x14ac:dyDescent="0.2">
      <c r="A1750">
        <f t="shared" si="61"/>
        <v>46</v>
      </c>
      <c r="B1750">
        <v>1741</v>
      </c>
      <c r="C1750" s="1078">
        <v>4</v>
      </c>
      <c r="D1750" s="1077" t="s">
        <v>3604</v>
      </c>
      <c r="E1750" s="1077" t="s">
        <v>4371</v>
      </c>
      <c r="F1750" s="1079" t="s">
        <v>3913</v>
      </c>
      <c r="G1750" s="1079"/>
      <c r="H1750" s="1079"/>
      <c r="I1750" s="1079"/>
      <c r="J1750" s="1079"/>
      <c r="K1750" s="1079"/>
      <c r="L1750" s="1079"/>
      <c r="M1750" s="1079"/>
      <c r="N1750" s="1079"/>
      <c r="O1750" s="1079"/>
      <c r="P1750" s="1079"/>
      <c r="Q1750" s="1079"/>
      <c r="R1750" s="1079"/>
      <c r="S1750" s="1079"/>
      <c r="T1750" s="1079"/>
      <c r="U1750" s="1079"/>
      <c r="V1750" s="1079"/>
      <c r="W1750" s="1079"/>
      <c r="X1750" s="1079"/>
      <c r="Y1750" s="1079"/>
      <c r="Z1750" s="1079"/>
      <c r="AA1750" s="1079">
        <v>47.6</v>
      </c>
      <c r="AB1750" s="1079">
        <v>5.7</v>
      </c>
      <c r="AC1750" s="1079">
        <v>41</v>
      </c>
      <c r="AD1750" s="1080">
        <v>3.2</v>
      </c>
    </row>
    <row r="1751" spans="1:30" x14ac:dyDescent="0.2">
      <c r="A1751">
        <f t="shared" si="61"/>
        <v>46</v>
      </c>
      <c r="B1751">
        <v>1742</v>
      </c>
      <c r="C1751" s="1078">
        <v>4</v>
      </c>
      <c r="D1751" s="1077" t="s">
        <v>3604</v>
      </c>
      <c r="E1751" s="1077" t="s">
        <v>4372</v>
      </c>
      <c r="F1751" s="1079" t="s">
        <v>3913</v>
      </c>
      <c r="G1751" s="1079"/>
      <c r="H1751" s="1079"/>
      <c r="I1751" s="1079"/>
      <c r="J1751" s="1079"/>
      <c r="K1751" s="1079"/>
      <c r="L1751" s="1079"/>
      <c r="M1751" s="1079"/>
      <c r="N1751" s="1079"/>
      <c r="O1751" s="1079"/>
      <c r="P1751" s="1079"/>
      <c r="Q1751" s="1079"/>
      <c r="R1751" s="1079"/>
      <c r="S1751" s="1079"/>
      <c r="T1751" s="1079"/>
      <c r="U1751" s="1079"/>
      <c r="V1751" s="1079"/>
      <c r="W1751" s="1079"/>
      <c r="X1751" s="1079"/>
      <c r="Y1751" s="1079"/>
      <c r="Z1751" s="1079"/>
      <c r="AA1751" s="1079">
        <v>47.6</v>
      </c>
      <c r="AB1751" s="1079">
        <v>5.7</v>
      </c>
      <c r="AC1751" s="1079">
        <v>41</v>
      </c>
      <c r="AD1751" s="1080">
        <v>3.2</v>
      </c>
    </row>
    <row r="1752" spans="1:30" x14ac:dyDescent="0.2">
      <c r="A1752">
        <f t="shared" si="61"/>
        <v>46</v>
      </c>
      <c r="B1752">
        <v>1743</v>
      </c>
      <c r="C1752" s="1078">
        <v>4</v>
      </c>
      <c r="D1752" s="1077" t="s">
        <v>3604</v>
      </c>
      <c r="E1752" s="1077" t="s">
        <v>4373</v>
      </c>
      <c r="F1752" s="1079" t="s">
        <v>3914</v>
      </c>
      <c r="G1752" s="1079"/>
      <c r="H1752" s="1079"/>
      <c r="I1752" s="1079"/>
      <c r="J1752" s="1079"/>
      <c r="K1752" s="1079"/>
      <c r="L1752" s="1079"/>
      <c r="M1752" s="1079"/>
      <c r="N1752" s="1079"/>
      <c r="O1752" s="1079"/>
      <c r="P1752" s="1079"/>
      <c r="Q1752" s="1079"/>
      <c r="R1752" s="1079"/>
      <c r="S1752" s="1079"/>
      <c r="T1752" s="1079"/>
      <c r="U1752" s="1079"/>
      <c r="V1752" s="1079"/>
      <c r="W1752" s="1079"/>
      <c r="X1752" s="1079"/>
      <c r="Y1752" s="1079"/>
      <c r="Z1752" s="1079"/>
      <c r="AA1752" s="1079">
        <v>68.900000000000006</v>
      </c>
      <c r="AB1752" s="1079">
        <v>6.2</v>
      </c>
      <c r="AC1752" s="1079">
        <v>59.9</v>
      </c>
      <c r="AD1752" s="1080">
        <v>3.7</v>
      </c>
    </row>
    <row r="1753" spans="1:30" x14ac:dyDescent="0.2">
      <c r="A1753">
        <f t="shared" si="61"/>
        <v>46</v>
      </c>
      <c r="B1753">
        <v>1744</v>
      </c>
      <c r="C1753" s="1078">
        <v>4</v>
      </c>
      <c r="D1753" s="1077" t="s">
        <v>3604</v>
      </c>
      <c r="E1753" s="1077" t="s">
        <v>4374</v>
      </c>
      <c r="F1753" s="1079" t="s">
        <v>3914</v>
      </c>
      <c r="G1753" s="1079"/>
      <c r="H1753" s="1079"/>
      <c r="I1753" s="1079"/>
      <c r="J1753" s="1079"/>
      <c r="K1753" s="1079"/>
      <c r="L1753" s="1079"/>
      <c r="M1753" s="1079"/>
      <c r="N1753" s="1079"/>
      <c r="O1753" s="1079"/>
      <c r="P1753" s="1079"/>
      <c r="Q1753" s="1079"/>
      <c r="R1753" s="1079"/>
      <c r="S1753" s="1079"/>
      <c r="T1753" s="1079"/>
      <c r="U1753" s="1079"/>
      <c r="V1753" s="1079"/>
      <c r="W1753" s="1079"/>
      <c r="X1753" s="1079"/>
      <c r="Y1753" s="1079"/>
      <c r="Z1753" s="1079"/>
      <c r="AA1753" s="1079">
        <v>68.900000000000006</v>
      </c>
      <c r="AB1753" s="1079">
        <v>6.2</v>
      </c>
      <c r="AC1753" s="1079">
        <v>59.9</v>
      </c>
      <c r="AD1753" s="1080">
        <v>3.7</v>
      </c>
    </row>
    <row r="1754" spans="1:30" x14ac:dyDescent="0.2">
      <c r="A1754">
        <f t="shared" si="61"/>
        <v>46</v>
      </c>
      <c r="B1754">
        <v>1745</v>
      </c>
      <c r="C1754" s="1078">
        <v>4</v>
      </c>
      <c r="D1754" s="1077" t="s">
        <v>3604</v>
      </c>
      <c r="E1754" s="1077" t="s">
        <v>4375</v>
      </c>
      <c r="F1754" s="1079" t="s">
        <v>3914</v>
      </c>
      <c r="G1754" s="1079"/>
      <c r="H1754" s="1079"/>
      <c r="I1754" s="1079"/>
      <c r="J1754" s="1079"/>
      <c r="K1754" s="1079"/>
      <c r="L1754" s="1079"/>
      <c r="M1754" s="1079"/>
      <c r="N1754" s="1079"/>
      <c r="O1754" s="1079"/>
      <c r="P1754" s="1079"/>
      <c r="Q1754" s="1079"/>
      <c r="R1754" s="1079"/>
      <c r="S1754" s="1079"/>
      <c r="T1754" s="1079"/>
      <c r="U1754" s="1079"/>
      <c r="V1754" s="1079"/>
      <c r="W1754" s="1079"/>
      <c r="X1754" s="1079"/>
      <c r="Y1754" s="1079"/>
      <c r="Z1754" s="1079"/>
      <c r="AA1754" s="1079">
        <v>98.9</v>
      </c>
      <c r="AB1754" s="1079">
        <v>5.9</v>
      </c>
      <c r="AC1754" s="1079">
        <v>89.9</v>
      </c>
      <c r="AD1754" s="1080">
        <v>3.7</v>
      </c>
    </row>
    <row r="1755" spans="1:30" x14ac:dyDescent="0.2">
      <c r="A1755">
        <f t="shared" si="61"/>
        <v>46</v>
      </c>
      <c r="B1755">
        <v>1746</v>
      </c>
      <c r="C1755" s="1078">
        <v>4</v>
      </c>
      <c r="D1755" s="1077" t="s">
        <v>3604</v>
      </c>
      <c r="E1755" s="1077" t="s">
        <v>4376</v>
      </c>
      <c r="F1755" s="1079" t="s">
        <v>3914</v>
      </c>
      <c r="G1755" s="1079"/>
      <c r="H1755" s="1079"/>
      <c r="I1755" s="1079"/>
      <c r="J1755" s="1079"/>
      <c r="K1755" s="1079"/>
      <c r="L1755" s="1079"/>
      <c r="M1755" s="1079"/>
      <c r="N1755" s="1079"/>
      <c r="O1755" s="1079"/>
      <c r="P1755" s="1079"/>
      <c r="Q1755" s="1079"/>
      <c r="R1755" s="1079"/>
      <c r="S1755" s="1079"/>
      <c r="T1755" s="1079"/>
      <c r="U1755" s="1079"/>
      <c r="V1755" s="1079"/>
      <c r="W1755" s="1079"/>
      <c r="X1755" s="1079"/>
      <c r="Y1755" s="1079"/>
      <c r="Z1755" s="1079"/>
      <c r="AA1755" s="1079">
        <v>98.9</v>
      </c>
      <c r="AB1755" s="1079">
        <v>5.9</v>
      </c>
      <c r="AC1755" s="1079">
        <v>101.1</v>
      </c>
      <c r="AD1755" s="1080">
        <v>4.2</v>
      </c>
    </row>
    <row r="1756" spans="1:30" x14ac:dyDescent="0.2">
      <c r="A1756">
        <f t="shared" si="61"/>
        <v>47</v>
      </c>
      <c r="B1756">
        <v>1747</v>
      </c>
      <c r="C1756" s="1078">
        <v>2</v>
      </c>
      <c r="D1756" s="1077" t="s">
        <v>3605</v>
      </c>
      <c r="E1756" s="1077" t="s">
        <v>4400</v>
      </c>
      <c r="F1756" s="1079"/>
      <c r="G1756" s="1079"/>
      <c r="H1756" s="1079"/>
      <c r="I1756" s="1079">
        <v>6.8</v>
      </c>
      <c r="J1756" s="1079">
        <v>2.5</v>
      </c>
      <c r="K1756" s="1079">
        <v>6.7</v>
      </c>
      <c r="L1756" s="1079">
        <v>3.6</v>
      </c>
      <c r="M1756" s="1079">
        <v>7.7</v>
      </c>
      <c r="N1756" s="1079">
        <v>4.4000000000000004</v>
      </c>
      <c r="O1756" s="1079"/>
      <c r="P1756" s="1079"/>
      <c r="Q1756" s="1079">
        <v>4.9000000000000004</v>
      </c>
      <c r="R1756" s="1079">
        <v>1.4</v>
      </c>
      <c r="S1756" s="1079">
        <v>6.5</v>
      </c>
      <c r="T1756" s="1079">
        <v>2.5</v>
      </c>
      <c r="U1756" s="1079"/>
      <c r="V1756" s="1079"/>
      <c r="W1756" s="1079"/>
      <c r="X1756" s="1079"/>
      <c r="Y1756" s="1079"/>
      <c r="Z1756" s="1079"/>
      <c r="AA1756" s="1079"/>
      <c r="AB1756" s="1079"/>
      <c r="AC1756" s="1079"/>
      <c r="AD1756" s="1080"/>
    </row>
    <row r="1757" spans="1:30" x14ac:dyDescent="0.2">
      <c r="A1757">
        <f t="shared" si="61"/>
        <v>47</v>
      </c>
      <c r="B1757">
        <v>1748</v>
      </c>
      <c r="C1757" s="1078">
        <v>2</v>
      </c>
      <c r="D1757" s="1077" t="s">
        <v>3605</v>
      </c>
      <c r="E1757" s="1077" t="s">
        <v>4401</v>
      </c>
      <c r="F1757" s="1079"/>
      <c r="G1757" s="1079"/>
      <c r="H1757" s="1079"/>
      <c r="I1757" s="1079">
        <v>6.8</v>
      </c>
      <c r="J1757" s="1079">
        <v>2.5</v>
      </c>
      <c r="K1757" s="1079">
        <v>6.7</v>
      </c>
      <c r="L1757" s="1079">
        <v>3.6</v>
      </c>
      <c r="M1757" s="1079">
        <v>7.7</v>
      </c>
      <c r="N1757" s="1079">
        <v>4.4000000000000004</v>
      </c>
      <c r="O1757" s="1079"/>
      <c r="P1757" s="1079"/>
      <c r="Q1757" s="1079">
        <v>4.9000000000000004</v>
      </c>
      <c r="R1757" s="1079">
        <v>1.4</v>
      </c>
      <c r="S1757" s="1079">
        <v>6.5</v>
      </c>
      <c r="T1757" s="1079">
        <v>2.5</v>
      </c>
      <c r="U1757" s="1079"/>
      <c r="V1757" s="1079"/>
      <c r="W1757" s="1079"/>
      <c r="X1757" s="1079"/>
      <c r="Y1757" s="1079"/>
      <c r="Z1757" s="1079"/>
      <c r="AA1757" s="1079"/>
      <c r="AB1757" s="1079"/>
      <c r="AC1757" s="1079"/>
      <c r="AD1757" s="1080"/>
    </row>
    <row r="1758" spans="1:30" x14ac:dyDescent="0.2">
      <c r="A1758">
        <f t="shared" si="61"/>
        <v>47</v>
      </c>
      <c r="B1758">
        <v>1749</v>
      </c>
      <c r="C1758" s="1078">
        <v>2</v>
      </c>
      <c r="D1758" s="1077" t="s">
        <v>3605</v>
      </c>
      <c r="E1758" s="1077" t="s">
        <v>4402</v>
      </c>
      <c r="F1758" s="1079"/>
      <c r="G1758" s="1079">
        <v>5.6</v>
      </c>
      <c r="H1758" s="1079">
        <v>1.8</v>
      </c>
      <c r="I1758" s="1079">
        <v>7.3</v>
      </c>
      <c r="J1758" s="1079">
        <v>2.6</v>
      </c>
      <c r="K1758" s="1079">
        <v>8.1999999999999993</v>
      </c>
      <c r="L1758" s="1079">
        <v>3.6</v>
      </c>
      <c r="M1758" s="1079">
        <v>9.5</v>
      </c>
      <c r="N1758" s="1079">
        <v>4.8</v>
      </c>
      <c r="O1758" s="1079"/>
      <c r="P1758" s="1079"/>
      <c r="Q1758" s="1079">
        <v>4.7</v>
      </c>
      <c r="R1758" s="1079">
        <v>1.2</v>
      </c>
      <c r="S1758" s="1079">
        <v>7.4</v>
      </c>
      <c r="T1758" s="1079">
        <v>2.5</v>
      </c>
      <c r="U1758" s="1079">
        <v>12</v>
      </c>
      <c r="V1758" s="1079">
        <v>3.7</v>
      </c>
      <c r="W1758" s="1079"/>
      <c r="X1758" s="1079"/>
      <c r="Y1758" s="1079"/>
      <c r="Z1758" s="1079"/>
      <c r="AA1758" s="1079"/>
      <c r="AB1758" s="1079"/>
      <c r="AC1758" s="1079"/>
      <c r="AD1758" s="1080"/>
    </row>
    <row r="1759" spans="1:30" x14ac:dyDescent="0.2">
      <c r="A1759">
        <f t="shared" si="61"/>
        <v>47</v>
      </c>
      <c r="B1759">
        <v>1750</v>
      </c>
      <c r="C1759" s="1078">
        <v>2</v>
      </c>
      <c r="D1759" s="1077" t="s">
        <v>3605</v>
      </c>
      <c r="E1759" s="1077" t="s">
        <v>4403</v>
      </c>
      <c r="F1759" s="1079"/>
      <c r="G1759" s="1079">
        <v>5.6</v>
      </c>
      <c r="H1759" s="1079">
        <v>1.8</v>
      </c>
      <c r="I1759" s="1079">
        <v>7.3</v>
      </c>
      <c r="J1759" s="1079">
        <v>2.6</v>
      </c>
      <c r="K1759" s="1079">
        <v>8.1999999999999993</v>
      </c>
      <c r="L1759" s="1079">
        <v>3.6</v>
      </c>
      <c r="M1759" s="1079">
        <v>9.5</v>
      </c>
      <c r="N1759" s="1079">
        <v>4.8</v>
      </c>
      <c r="O1759" s="1079"/>
      <c r="P1759" s="1079"/>
      <c r="Q1759" s="1079">
        <v>4.7</v>
      </c>
      <c r="R1759" s="1079">
        <v>1.2</v>
      </c>
      <c r="S1759" s="1079">
        <v>7.4</v>
      </c>
      <c r="T1759" s="1079">
        <v>2.5</v>
      </c>
      <c r="U1759" s="1079">
        <v>12</v>
      </c>
      <c r="V1759" s="1079">
        <v>3.7</v>
      </c>
      <c r="W1759" s="1079"/>
      <c r="X1759" s="1079"/>
      <c r="Y1759" s="1079"/>
      <c r="Z1759" s="1079"/>
      <c r="AA1759" s="1079"/>
      <c r="AB1759" s="1079"/>
      <c r="AC1759" s="1079"/>
      <c r="AD1759" s="1080"/>
    </row>
    <row r="1760" spans="1:30" x14ac:dyDescent="0.2">
      <c r="A1760">
        <f t="shared" si="61"/>
        <v>47</v>
      </c>
      <c r="B1760">
        <v>1751</v>
      </c>
      <c r="C1760" s="1078">
        <v>2</v>
      </c>
      <c r="D1760" s="1077" t="s">
        <v>3605</v>
      </c>
      <c r="E1760" s="1077" t="s">
        <v>4404</v>
      </c>
      <c r="F1760" s="1079"/>
      <c r="G1760" s="1079"/>
      <c r="H1760" s="1079"/>
      <c r="I1760" s="1079">
        <v>13.8</v>
      </c>
      <c r="J1760" s="1079">
        <v>3.1</v>
      </c>
      <c r="K1760" s="1079">
        <v>8.1999999999999993</v>
      </c>
      <c r="L1760" s="1079">
        <v>4.2</v>
      </c>
      <c r="M1760" s="1079">
        <v>7.7</v>
      </c>
      <c r="N1760" s="1079">
        <v>4.8</v>
      </c>
      <c r="O1760" s="1079"/>
      <c r="P1760" s="1079"/>
      <c r="Q1760" s="1079">
        <v>14.9</v>
      </c>
      <c r="R1760" s="1079">
        <v>2.4</v>
      </c>
      <c r="S1760" s="1079">
        <v>8.8000000000000007</v>
      </c>
      <c r="T1760" s="1079">
        <v>3.3</v>
      </c>
      <c r="U1760" s="1079"/>
      <c r="V1760" s="1079"/>
      <c r="W1760" s="1079"/>
      <c r="X1760" s="1079"/>
      <c r="Y1760" s="1079"/>
      <c r="Z1760" s="1079"/>
      <c r="AA1760" s="1079"/>
      <c r="AB1760" s="1079"/>
      <c r="AC1760" s="1079"/>
      <c r="AD1760" s="1080"/>
    </row>
    <row r="1761" spans="1:30" x14ac:dyDescent="0.2">
      <c r="A1761">
        <f t="shared" si="61"/>
        <v>47</v>
      </c>
      <c r="B1761">
        <v>1752</v>
      </c>
      <c r="C1761" s="1078">
        <v>2</v>
      </c>
      <c r="D1761" s="1077" t="s">
        <v>3605</v>
      </c>
      <c r="E1761" s="1077" t="s">
        <v>4405</v>
      </c>
      <c r="F1761" s="1079"/>
      <c r="G1761" s="1079">
        <v>5.6</v>
      </c>
      <c r="H1761" s="1079">
        <v>1.8</v>
      </c>
      <c r="I1761" s="1079">
        <v>7.3</v>
      </c>
      <c r="J1761" s="1079">
        <v>2.6</v>
      </c>
      <c r="K1761" s="1079">
        <v>8.1999999999999993</v>
      </c>
      <c r="L1761" s="1079">
        <v>3.6</v>
      </c>
      <c r="M1761" s="1079">
        <v>9.5</v>
      </c>
      <c r="N1761" s="1079">
        <v>4.8</v>
      </c>
      <c r="O1761" s="1079">
        <v>10.9</v>
      </c>
      <c r="P1761" s="1079">
        <v>6.4</v>
      </c>
      <c r="Q1761" s="1079">
        <v>4.7</v>
      </c>
      <c r="R1761" s="1079">
        <v>1.2</v>
      </c>
      <c r="S1761" s="1079">
        <v>7.4</v>
      </c>
      <c r="T1761" s="1079">
        <v>2.5</v>
      </c>
      <c r="U1761" s="1079">
        <v>12</v>
      </c>
      <c r="V1761" s="1079">
        <v>3.7</v>
      </c>
      <c r="W1761" s="1079"/>
      <c r="X1761" s="1079"/>
      <c r="Y1761" s="1079"/>
      <c r="Z1761" s="1079"/>
      <c r="AA1761" s="1079"/>
      <c r="AB1761" s="1079"/>
      <c r="AC1761" s="1079"/>
      <c r="AD1761" s="1080"/>
    </row>
    <row r="1762" spans="1:30" x14ac:dyDescent="0.2">
      <c r="A1762">
        <f t="shared" si="61"/>
        <v>47</v>
      </c>
      <c r="B1762">
        <v>1753</v>
      </c>
      <c r="C1762" s="1078">
        <v>2</v>
      </c>
      <c r="D1762" s="1077" t="s">
        <v>3605</v>
      </c>
      <c r="E1762" s="1077" t="s">
        <v>4406</v>
      </c>
      <c r="F1762" s="1079"/>
      <c r="G1762" s="1079"/>
      <c r="H1762" s="1079"/>
      <c r="I1762" s="1079">
        <v>11.2</v>
      </c>
      <c r="J1762" s="1079">
        <v>2.8</v>
      </c>
      <c r="K1762" s="1079">
        <v>11.2</v>
      </c>
      <c r="L1762" s="1079">
        <v>3.3</v>
      </c>
      <c r="M1762" s="1079">
        <v>11.2</v>
      </c>
      <c r="N1762" s="1079">
        <v>4.5</v>
      </c>
      <c r="O1762" s="1079"/>
      <c r="P1762" s="1079"/>
      <c r="Q1762" s="1079">
        <v>8</v>
      </c>
      <c r="R1762" s="1079">
        <v>1.9</v>
      </c>
      <c r="S1762" s="1079">
        <v>8</v>
      </c>
      <c r="T1762" s="1079">
        <v>2.7</v>
      </c>
      <c r="U1762" s="1079"/>
      <c r="V1762" s="1079"/>
      <c r="W1762" s="1079"/>
      <c r="X1762" s="1079"/>
      <c r="Y1762" s="1079"/>
      <c r="Z1762" s="1079"/>
      <c r="AA1762" s="1079"/>
      <c r="AB1762" s="1079"/>
      <c r="AC1762" s="1079"/>
      <c r="AD1762" s="1080"/>
    </row>
    <row r="1763" spans="1:30" x14ac:dyDescent="0.2">
      <c r="A1763">
        <f t="shared" si="61"/>
        <v>47</v>
      </c>
      <c r="B1763">
        <v>1754</v>
      </c>
      <c r="C1763" s="1078">
        <v>2</v>
      </c>
      <c r="D1763" s="1077" t="s">
        <v>3605</v>
      </c>
      <c r="E1763" s="1077" t="s">
        <v>4407</v>
      </c>
      <c r="F1763" s="1079"/>
      <c r="G1763" s="1079"/>
      <c r="H1763" s="1079"/>
      <c r="I1763" s="1079">
        <v>14</v>
      </c>
      <c r="J1763" s="1079">
        <v>2.6</v>
      </c>
      <c r="K1763" s="1079">
        <v>14</v>
      </c>
      <c r="L1763" s="1079">
        <v>3</v>
      </c>
      <c r="M1763" s="1079">
        <v>14</v>
      </c>
      <c r="N1763" s="1079">
        <v>4.2</v>
      </c>
      <c r="O1763" s="1079"/>
      <c r="P1763" s="1079"/>
      <c r="Q1763" s="1079">
        <v>14</v>
      </c>
      <c r="R1763" s="1079">
        <v>1.6</v>
      </c>
      <c r="S1763" s="1079">
        <v>14</v>
      </c>
      <c r="T1763" s="1079">
        <v>2.4</v>
      </c>
      <c r="U1763" s="1079"/>
      <c r="V1763" s="1079"/>
      <c r="W1763" s="1079"/>
      <c r="X1763" s="1079"/>
      <c r="Y1763" s="1079"/>
      <c r="Z1763" s="1079"/>
      <c r="AA1763" s="1079"/>
      <c r="AB1763" s="1079"/>
      <c r="AC1763" s="1079"/>
      <c r="AD1763" s="1080"/>
    </row>
    <row r="1764" spans="1:30" x14ac:dyDescent="0.2">
      <c r="A1764">
        <f t="shared" si="61"/>
        <v>47</v>
      </c>
      <c r="B1764">
        <v>1755</v>
      </c>
      <c r="C1764" s="1078">
        <v>3</v>
      </c>
      <c r="D1764" s="1077" t="s">
        <v>3605</v>
      </c>
      <c r="E1764" s="1077" t="s">
        <v>4408</v>
      </c>
      <c r="F1764" s="1079">
        <v>1</v>
      </c>
      <c r="G1764" s="1079"/>
      <c r="H1764" s="1079"/>
      <c r="I1764" s="1079"/>
      <c r="J1764" s="1079"/>
      <c r="K1764" s="1079"/>
      <c r="L1764" s="1079"/>
      <c r="M1764" s="1079"/>
      <c r="N1764" s="1079"/>
      <c r="O1764" s="1079"/>
      <c r="P1764" s="1079"/>
      <c r="Q1764" s="1079"/>
      <c r="R1764" s="1079"/>
      <c r="S1764" s="1079"/>
      <c r="T1764" s="1079"/>
      <c r="U1764" s="1079"/>
      <c r="V1764" s="1079"/>
      <c r="W1764" s="1079">
        <v>5.9</v>
      </c>
      <c r="X1764" s="1079">
        <v>4.7</v>
      </c>
      <c r="Y1764" s="1079">
        <v>5.5</v>
      </c>
      <c r="Z1764" s="1079">
        <v>2.7</v>
      </c>
      <c r="AA1764" s="1079">
        <v>7.6</v>
      </c>
      <c r="AB1764" s="1079">
        <v>6.2</v>
      </c>
      <c r="AC1764" s="1079">
        <v>7</v>
      </c>
      <c r="AD1764" s="1080">
        <v>3.4</v>
      </c>
    </row>
    <row r="1765" spans="1:30" x14ac:dyDescent="0.2">
      <c r="A1765">
        <f t="shared" si="61"/>
        <v>47</v>
      </c>
      <c r="B1765">
        <v>1756</v>
      </c>
      <c r="C1765" s="1078">
        <v>3</v>
      </c>
      <c r="D1765" s="1077" t="s">
        <v>3605</v>
      </c>
      <c r="E1765" s="1077" t="s">
        <v>4409</v>
      </c>
      <c r="F1765" s="1079">
        <v>1</v>
      </c>
      <c r="G1765" s="1079"/>
      <c r="H1765" s="1079"/>
      <c r="I1765" s="1079"/>
      <c r="J1765" s="1079"/>
      <c r="K1765" s="1079"/>
      <c r="L1765" s="1079"/>
      <c r="M1765" s="1079"/>
      <c r="N1765" s="1079"/>
      <c r="O1765" s="1079"/>
      <c r="P1765" s="1079"/>
      <c r="Q1765" s="1079"/>
      <c r="R1765" s="1079"/>
      <c r="S1765" s="1079"/>
      <c r="T1765" s="1079"/>
      <c r="U1765" s="1079"/>
      <c r="V1765" s="1079"/>
      <c r="W1765" s="1079">
        <v>5.9</v>
      </c>
      <c r="X1765" s="1079">
        <v>4.7</v>
      </c>
      <c r="Y1765" s="1079">
        <v>5.5</v>
      </c>
      <c r="Z1765" s="1079">
        <v>2.7</v>
      </c>
      <c r="AA1765" s="1079">
        <v>8.1</v>
      </c>
      <c r="AB1765" s="1079">
        <v>6.4</v>
      </c>
      <c r="AC1765" s="1079">
        <v>7.3</v>
      </c>
      <c r="AD1765" s="1080">
        <v>3.6</v>
      </c>
    </row>
    <row r="1766" spans="1:30" x14ac:dyDescent="0.2">
      <c r="A1766">
        <f t="shared" si="61"/>
        <v>47</v>
      </c>
      <c r="B1766">
        <v>1757</v>
      </c>
      <c r="C1766" s="1078">
        <v>3</v>
      </c>
      <c r="D1766" s="1077" t="s">
        <v>3605</v>
      </c>
      <c r="E1766" s="1077" t="s">
        <v>4410</v>
      </c>
      <c r="F1766" s="1079">
        <v>1</v>
      </c>
      <c r="G1766" s="1079"/>
      <c r="H1766" s="1079"/>
      <c r="I1766" s="1079"/>
      <c r="J1766" s="1079"/>
      <c r="K1766" s="1079"/>
      <c r="L1766" s="1079"/>
      <c r="M1766" s="1079"/>
      <c r="N1766" s="1079"/>
      <c r="O1766" s="1079"/>
      <c r="P1766" s="1079"/>
      <c r="Q1766" s="1079"/>
      <c r="R1766" s="1079"/>
      <c r="S1766" s="1079"/>
      <c r="T1766" s="1079"/>
      <c r="U1766" s="1079"/>
      <c r="V1766" s="1079"/>
      <c r="W1766" s="1079">
        <v>6</v>
      </c>
      <c r="X1766" s="1079">
        <v>4.7</v>
      </c>
      <c r="Y1766" s="1079">
        <v>5.6</v>
      </c>
      <c r="Z1766" s="1079">
        <v>2.8</v>
      </c>
      <c r="AA1766" s="1079">
        <v>8.1</v>
      </c>
      <c r="AB1766" s="1079">
        <v>6.3</v>
      </c>
      <c r="AC1766" s="1079">
        <v>7.3</v>
      </c>
      <c r="AD1766" s="1080">
        <v>3.6</v>
      </c>
    </row>
    <row r="1767" spans="1:30" x14ac:dyDescent="0.2">
      <c r="A1767">
        <f t="shared" si="61"/>
        <v>47</v>
      </c>
      <c r="B1767">
        <v>1758</v>
      </c>
      <c r="C1767" s="1078">
        <v>3</v>
      </c>
      <c r="D1767" s="1077" t="s">
        <v>3605</v>
      </c>
      <c r="E1767" s="1077" t="s">
        <v>4411</v>
      </c>
      <c r="F1767" s="1079">
        <v>1</v>
      </c>
      <c r="G1767" s="1079"/>
      <c r="H1767" s="1079"/>
      <c r="I1767" s="1079"/>
      <c r="J1767" s="1079"/>
      <c r="K1767" s="1079"/>
      <c r="L1767" s="1079"/>
      <c r="M1767" s="1079"/>
      <c r="N1767" s="1079"/>
      <c r="O1767" s="1079"/>
      <c r="P1767" s="1079"/>
      <c r="Q1767" s="1079"/>
      <c r="R1767" s="1079"/>
      <c r="S1767" s="1079"/>
      <c r="T1767" s="1079"/>
      <c r="U1767" s="1079"/>
      <c r="V1767" s="1079"/>
      <c r="W1767" s="1079">
        <v>6</v>
      </c>
      <c r="X1767" s="1079">
        <v>4.7</v>
      </c>
      <c r="Y1767" s="1079">
        <v>5.6</v>
      </c>
      <c r="Z1767" s="1079">
        <v>2.8</v>
      </c>
      <c r="AA1767" s="1079">
        <v>9.4</v>
      </c>
      <c r="AB1767" s="1079">
        <v>6.5</v>
      </c>
      <c r="AC1767" s="1079">
        <v>8.5</v>
      </c>
      <c r="AD1767" s="1080">
        <v>3.6</v>
      </c>
    </row>
    <row r="1768" spans="1:30" x14ac:dyDescent="0.2">
      <c r="A1768">
        <f t="shared" si="61"/>
        <v>47</v>
      </c>
      <c r="B1768">
        <v>1759</v>
      </c>
      <c r="C1768" s="1078">
        <v>3</v>
      </c>
      <c r="D1768" s="1077" t="s">
        <v>3605</v>
      </c>
      <c r="E1768" s="1077" t="s">
        <v>4412</v>
      </c>
      <c r="F1768" s="1079">
        <v>1</v>
      </c>
      <c r="G1768" s="1079"/>
      <c r="H1768" s="1079"/>
      <c r="I1768" s="1079"/>
      <c r="J1768" s="1079"/>
      <c r="K1768" s="1079"/>
      <c r="L1768" s="1079"/>
      <c r="M1768" s="1079"/>
      <c r="N1768" s="1079"/>
      <c r="O1768" s="1079"/>
      <c r="P1768" s="1079"/>
      <c r="Q1768" s="1079"/>
      <c r="R1768" s="1079"/>
      <c r="S1768" s="1079"/>
      <c r="T1768" s="1079"/>
      <c r="U1768" s="1079"/>
      <c r="V1768" s="1079"/>
      <c r="W1768" s="1079">
        <v>7.3</v>
      </c>
      <c r="X1768" s="1079">
        <v>4.9000000000000004</v>
      </c>
      <c r="Y1768" s="1079">
        <v>6.6</v>
      </c>
      <c r="Z1768" s="1079">
        <v>2.7</v>
      </c>
      <c r="AA1768" s="1079">
        <v>9.4</v>
      </c>
      <c r="AB1768" s="1079">
        <v>6.5</v>
      </c>
      <c r="AC1768" s="1079">
        <v>8.5</v>
      </c>
      <c r="AD1768" s="1080">
        <v>3.6</v>
      </c>
    </row>
    <row r="1769" spans="1:30" x14ac:dyDescent="0.2">
      <c r="A1769">
        <f t="shared" si="61"/>
        <v>47</v>
      </c>
      <c r="B1769">
        <v>1760</v>
      </c>
      <c r="C1769" s="1078">
        <v>3</v>
      </c>
      <c r="D1769" s="1077" t="s">
        <v>3605</v>
      </c>
      <c r="E1769" s="1077" t="s">
        <v>4413</v>
      </c>
      <c r="F1769" s="1079">
        <v>1</v>
      </c>
      <c r="G1769" s="1079"/>
      <c r="H1769" s="1079"/>
      <c r="I1769" s="1079"/>
      <c r="J1769" s="1079"/>
      <c r="K1769" s="1079"/>
      <c r="L1769" s="1079"/>
      <c r="M1769" s="1079"/>
      <c r="N1769" s="1079"/>
      <c r="O1769" s="1079"/>
      <c r="P1769" s="1079"/>
      <c r="Q1769" s="1079"/>
      <c r="R1769" s="1079"/>
      <c r="S1769" s="1079"/>
      <c r="T1769" s="1079"/>
      <c r="U1769" s="1079"/>
      <c r="V1769" s="1079"/>
      <c r="W1769" s="1079">
        <v>7.3</v>
      </c>
      <c r="X1769" s="1079">
        <v>4.9000000000000004</v>
      </c>
      <c r="Y1769" s="1079">
        <v>6.6</v>
      </c>
      <c r="Z1769" s="1079">
        <v>2.7</v>
      </c>
      <c r="AA1769" s="1079">
        <v>10.5</v>
      </c>
      <c r="AB1769" s="1079">
        <v>6.4</v>
      </c>
      <c r="AC1769" s="1079">
        <v>9.8000000000000007</v>
      </c>
      <c r="AD1769" s="1080">
        <v>3.6</v>
      </c>
    </row>
    <row r="1770" spans="1:30" x14ac:dyDescent="0.2">
      <c r="A1770">
        <f t="shared" si="61"/>
        <v>47</v>
      </c>
      <c r="B1770">
        <v>1761</v>
      </c>
      <c r="C1770" s="1078">
        <v>3</v>
      </c>
      <c r="D1770" s="1077" t="s">
        <v>3605</v>
      </c>
      <c r="E1770" s="1077" t="s">
        <v>4414</v>
      </c>
      <c r="F1770" s="1079">
        <v>1</v>
      </c>
      <c r="G1770" s="1079"/>
      <c r="H1770" s="1079"/>
      <c r="I1770" s="1079"/>
      <c r="J1770" s="1079"/>
      <c r="K1770" s="1079"/>
      <c r="L1770" s="1079"/>
      <c r="M1770" s="1079"/>
      <c r="N1770" s="1079"/>
      <c r="O1770" s="1079"/>
      <c r="P1770" s="1079"/>
      <c r="Q1770" s="1079"/>
      <c r="R1770" s="1079"/>
      <c r="S1770" s="1079"/>
      <c r="T1770" s="1079"/>
      <c r="U1770" s="1079"/>
      <c r="V1770" s="1079"/>
      <c r="W1770" s="1079">
        <v>7.9</v>
      </c>
      <c r="X1770" s="1079">
        <v>4.9000000000000004</v>
      </c>
      <c r="Y1770" s="1079">
        <v>7.4</v>
      </c>
      <c r="Z1770" s="1079">
        <v>2.9</v>
      </c>
      <c r="AA1770" s="1079">
        <v>10.5</v>
      </c>
      <c r="AB1770" s="1079">
        <v>6.4</v>
      </c>
      <c r="AC1770" s="1079">
        <v>9.5</v>
      </c>
      <c r="AD1770" s="1080">
        <v>3.6</v>
      </c>
    </row>
    <row r="1771" spans="1:30" x14ac:dyDescent="0.2">
      <c r="A1771">
        <f t="shared" si="61"/>
        <v>47</v>
      </c>
      <c r="B1771">
        <v>1762</v>
      </c>
      <c r="C1771" s="1078">
        <v>3</v>
      </c>
      <c r="D1771" s="1077" t="s">
        <v>3605</v>
      </c>
      <c r="E1771" s="1077" t="s">
        <v>4415</v>
      </c>
      <c r="F1771" s="1079">
        <v>1</v>
      </c>
      <c r="G1771" s="1079"/>
      <c r="H1771" s="1079"/>
      <c r="I1771" s="1079"/>
      <c r="J1771" s="1079"/>
      <c r="K1771" s="1079"/>
      <c r="L1771" s="1079"/>
      <c r="M1771" s="1079"/>
      <c r="N1771" s="1079"/>
      <c r="O1771" s="1079"/>
      <c r="P1771" s="1079"/>
      <c r="Q1771" s="1079"/>
      <c r="R1771" s="1079"/>
      <c r="S1771" s="1079"/>
      <c r="T1771" s="1079"/>
      <c r="U1771" s="1079"/>
      <c r="V1771" s="1079"/>
      <c r="W1771" s="1079">
        <v>7.9</v>
      </c>
      <c r="X1771" s="1079">
        <v>4.9000000000000004</v>
      </c>
      <c r="Y1771" s="1079">
        <v>7.4</v>
      </c>
      <c r="Z1771" s="1079">
        <v>2.9</v>
      </c>
      <c r="AA1771" s="1079">
        <v>11.8</v>
      </c>
      <c r="AB1771" s="1079">
        <v>6.5</v>
      </c>
      <c r="AC1771" s="1079">
        <v>10.7</v>
      </c>
      <c r="AD1771" s="1080">
        <v>3.7</v>
      </c>
    </row>
    <row r="1772" spans="1:30" x14ac:dyDescent="0.2">
      <c r="A1772">
        <f t="shared" si="61"/>
        <v>47</v>
      </c>
      <c r="B1772">
        <v>1763</v>
      </c>
      <c r="C1772" s="1078">
        <v>2</v>
      </c>
      <c r="D1772" s="1077" t="s">
        <v>3605</v>
      </c>
      <c r="E1772" s="1077" t="s">
        <v>4416</v>
      </c>
      <c r="F1772" s="1079">
        <v>1</v>
      </c>
      <c r="G1772" s="1079"/>
      <c r="H1772" s="1079"/>
      <c r="I1772" s="1079"/>
      <c r="J1772" s="1079"/>
      <c r="K1772" s="1079"/>
      <c r="L1772" s="1079"/>
      <c r="M1772" s="1079"/>
      <c r="N1772" s="1079"/>
      <c r="O1772" s="1079"/>
      <c r="P1772" s="1079"/>
      <c r="Q1772" s="1079"/>
      <c r="R1772" s="1079"/>
      <c r="S1772" s="1079"/>
      <c r="T1772" s="1079"/>
      <c r="U1772" s="1079"/>
      <c r="V1772" s="1079"/>
      <c r="W1772" s="1079">
        <v>9.1999999999999993</v>
      </c>
      <c r="X1772" s="1079">
        <v>5</v>
      </c>
      <c r="Y1772" s="1079">
        <v>8.5</v>
      </c>
      <c r="Z1772" s="1079">
        <v>2.8</v>
      </c>
      <c r="AA1772" s="1079">
        <v>11.8</v>
      </c>
      <c r="AB1772" s="1079">
        <v>6.5</v>
      </c>
      <c r="AC1772" s="1079">
        <v>10.7</v>
      </c>
      <c r="AD1772" s="1080">
        <v>3.7</v>
      </c>
    </row>
    <row r="1773" spans="1:30" x14ac:dyDescent="0.2">
      <c r="A1773">
        <f t="shared" si="61"/>
        <v>47</v>
      </c>
      <c r="B1773">
        <v>1764</v>
      </c>
      <c r="C1773" s="1078">
        <v>2</v>
      </c>
      <c r="D1773" s="1077" t="s">
        <v>3605</v>
      </c>
      <c r="E1773" s="1077" t="s">
        <v>4417</v>
      </c>
      <c r="F1773" s="1079">
        <v>1</v>
      </c>
      <c r="G1773" s="1079"/>
      <c r="H1773" s="1079"/>
      <c r="I1773" s="1079"/>
      <c r="J1773" s="1079"/>
      <c r="K1773" s="1079"/>
      <c r="L1773" s="1079"/>
      <c r="M1773" s="1079"/>
      <c r="N1773" s="1079"/>
      <c r="O1773" s="1079"/>
      <c r="P1773" s="1079"/>
      <c r="Q1773" s="1079"/>
      <c r="R1773" s="1079"/>
      <c r="S1773" s="1079"/>
      <c r="T1773" s="1079"/>
      <c r="U1773" s="1079"/>
      <c r="V1773" s="1079"/>
      <c r="W1773" s="1079">
        <v>9.1999999999999993</v>
      </c>
      <c r="X1773" s="1079">
        <v>5</v>
      </c>
      <c r="Y1773" s="1079">
        <v>8.5</v>
      </c>
      <c r="Z1773" s="1079">
        <v>2.8</v>
      </c>
      <c r="AA1773" s="1079">
        <v>13.3</v>
      </c>
      <c r="AB1773" s="1079">
        <v>6.5</v>
      </c>
      <c r="AC1773" s="1079">
        <v>11.9</v>
      </c>
      <c r="AD1773" s="1080">
        <v>3.5</v>
      </c>
    </row>
    <row r="1774" spans="1:30" x14ac:dyDescent="0.2">
      <c r="A1774">
        <f t="shared" si="61"/>
        <v>47</v>
      </c>
      <c r="B1774">
        <v>1765</v>
      </c>
      <c r="C1774" s="1078">
        <v>2</v>
      </c>
      <c r="D1774" s="1077" t="s">
        <v>3605</v>
      </c>
      <c r="E1774" s="1077" t="s">
        <v>4418</v>
      </c>
      <c r="F1774" s="1079">
        <v>1</v>
      </c>
      <c r="G1774" s="1079"/>
      <c r="H1774" s="1079"/>
      <c r="I1774" s="1079"/>
      <c r="J1774" s="1079"/>
      <c r="K1774" s="1079"/>
      <c r="L1774" s="1079"/>
      <c r="M1774" s="1079"/>
      <c r="N1774" s="1079"/>
      <c r="O1774" s="1079"/>
      <c r="P1774" s="1079"/>
      <c r="Q1774" s="1079"/>
      <c r="R1774" s="1079"/>
      <c r="S1774" s="1079"/>
      <c r="T1774" s="1079"/>
      <c r="U1774" s="1079"/>
      <c r="V1774" s="1079"/>
      <c r="W1774" s="1079">
        <v>10.3</v>
      </c>
      <c r="X1774" s="1079">
        <v>4.9000000000000004</v>
      </c>
      <c r="Y1774" s="1079">
        <v>9.3000000000000007</v>
      </c>
      <c r="Z1774" s="1079">
        <v>2.7</v>
      </c>
      <c r="AA1774" s="1079">
        <v>13.3</v>
      </c>
      <c r="AB1774" s="1079">
        <v>6.5</v>
      </c>
      <c r="AC1774" s="1079">
        <v>11.9</v>
      </c>
      <c r="AD1774" s="1080">
        <v>3.5</v>
      </c>
    </row>
    <row r="1775" spans="1:30" x14ac:dyDescent="0.2">
      <c r="A1775">
        <f t="shared" si="61"/>
        <v>47</v>
      </c>
      <c r="B1775">
        <v>1766</v>
      </c>
      <c r="C1775" s="1078">
        <v>3</v>
      </c>
      <c r="D1775" s="1077" t="s">
        <v>3605</v>
      </c>
      <c r="E1775" s="1077" t="s">
        <v>4419</v>
      </c>
      <c r="F1775" s="1079">
        <v>1</v>
      </c>
      <c r="G1775" s="1079"/>
      <c r="H1775" s="1079"/>
      <c r="I1775" s="1079"/>
      <c r="J1775" s="1079"/>
      <c r="K1775" s="1079"/>
      <c r="L1775" s="1079"/>
      <c r="M1775" s="1079"/>
      <c r="N1775" s="1079"/>
      <c r="O1775" s="1079"/>
      <c r="P1775" s="1079"/>
      <c r="Q1775" s="1079"/>
      <c r="R1775" s="1079"/>
      <c r="S1775" s="1079"/>
      <c r="T1775" s="1079"/>
      <c r="U1775" s="1079"/>
      <c r="V1775" s="1079"/>
      <c r="W1775" s="1079">
        <v>10.3</v>
      </c>
      <c r="X1775" s="1079">
        <v>4.9000000000000004</v>
      </c>
      <c r="Y1775" s="1079">
        <v>9.3000000000000007</v>
      </c>
      <c r="Z1775" s="1079">
        <v>2.7</v>
      </c>
      <c r="AA1775" s="1079">
        <v>14</v>
      </c>
      <c r="AB1775" s="1079">
        <v>6.5</v>
      </c>
      <c r="AC1775" s="1079">
        <v>12.6</v>
      </c>
      <c r="AD1775" s="1080">
        <v>3.7</v>
      </c>
    </row>
    <row r="1776" spans="1:30" x14ac:dyDescent="0.2">
      <c r="A1776">
        <f t="shared" si="61"/>
        <v>47</v>
      </c>
      <c r="B1776">
        <v>1767</v>
      </c>
      <c r="C1776" s="1078">
        <v>4</v>
      </c>
      <c r="D1776" s="1077" t="s">
        <v>3605</v>
      </c>
      <c r="E1776" s="1077" t="s">
        <v>4420</v>
      </c>
      <c r="F1776" s="1079">
        <v>1</v>
      </c>
      <c r="G1776" s="1079"/>
      <c r="H1776" s="1079"/>
      <c r="I1776" s="1079"/>
      <c r="J1776" s="1079"/>
      <c r="K1776" s="1079"/>
      <c r="L1776" s="1079"/>
      <c r="M1776" s="1079"/>
      <c r="N1776" s="1079"/>
      <c r="O1776" s="1079"/>
      <c r="P1776" s="1079"/>
      <c r="Q1776" s="1079"/>
      <c r="R1776" s="1079"/>
      <c r="S1776" s="1079"/>
      <c r="T1776" s="1079"/>
      <c r="U1776" s="1079"/>
      <c r="V1776" s="1079"/>
      <c r="W1776" s="1079">
        <v>10.6</v>
      </c>
      <c r="X1776" s="1079">
        <v>5.0999999999999996</v>
      </c>
      <c r="Y1776" s="1079">
        <v>9.1999999999999993</v>
      </c>
      <c r="Z1776" s="1079">
        <v>2.8</v>
      </c>
      <c r="AA1776" s="1079">
        <v>14</v>
      </c>
      <c r="AB1776" s="1079">
        <v>6.5</v>
      </c>
      <c r="AC1776" s="1079">
        <v>12.5</v>
      </c>
      <c r="AD1776" s="1080">
        <v>3.8</v>
      </c>
    </row>
    <row r="1777" spans="1:30" x14ac:dyDescent="0.2">
      <c r="A1777">
        <f t="shared" si="61"/>
        <v>47</v>
      </c>
      <c r="B1777">
        <v>1768</v>
      </c>
      <c r="C1777" s="1078">
        <v>3</v>
      </c>
      <c r="D1777" s="1077" t="s">
        <v>3605</v>
      </c>
      <c r="E1777" s="1077" t="s">
        <v>4421</v>
      </c>
      <c r="F1777" s="1079">
        <v>1</v>
      </c>
      <c r="G1777" s="1079"/>
      <c r="H1777" s="1079"/>
      <c r="I1777" s="1079"/>
      <c r="J1777" s="1079"/>
      <c r="K1777" s="1079"/>
      <c r="L1777" s="1079"/>
      <c r="M1777" s="1079"/>
      <c r="N1777" s="1079"/>
      <c r="O1777" s="1079"/>
      <c r="P1777" s="1079"/>
      <c r="Q1777" s="1079"/>
      <c r="R1777" s="1079"/>
      <c r="S1777" s="1079"/>
      <c r="T1777" s="1079"/>
      <c r="U1777" s="1079"/>
      <c r="V1777" s="1079"/>
      <c r="W1777" s="1079">
        <v>10.6</v>
      </c>
      <c r="X1777" s="1079">
        <v>5.0999999999999996</v>
      </c>
      <c r="Y1777" s="1079">
        <v>9</v>
      </c>
      <c r="Z1777" s="1079">
        <v>2.7</v>
      </c>
      <c r="AA1777" s="1079">
        <v>17.100000000000001</v>
      </c>
      <c r="AB1777" s="1079">
        <v>6.7</v>
      </c>
      <c r="AC1777" s="1079">
        <v>15.5</v>
      </c>
      <c r="AD1777" s="1080">
        <v>3.7</v>
      </c>
    </row>
    <row r="1778" spans="1:30" x14ac:dyDescent="0.2">
      <c r="A1778">
        <f t="shared" si="61"/>
        <v>47</v>
      </c>
      <c r="B1778">
        <v>1769</v>
      </c>
      <c r="C1778" s="1078">
        <v>3</v>
      </c>
      <c r="D1778" s="1077" t="s">
        <v>3605</v>
      </c>
      <c r="E1778" s="1077" t="s">
        <v>4422</v>
      </c>
      <c r="F1778" s="1079">
        <v>1</v>
      </c>
      <c r="G1778" s="1079"/>
      <c r="H1778" s="1079"/>
      <c r="I1778" s="1079"/>
      <c r="J1778" s="1079"/>
      <c r="K1778" s="1079"/>
      <c r="L1778" s="1079"/>
      <c r="M1778" s="1079"/>
      <c r="N1778" s="1079"/>
      <c r="O1778" s="1079"/>
      <c r="P1778" s="1079"/>
      <c r="Q1778" s="1079"/>
      <c r="R1778" s="1079"/>
      <c r="S1778" s="1079"/>
      <c r="T1778" s="1079"/>
      <c r="U1778" s="1079"/>
      <c r="V1778" s="1079"/>
      <c r="W1778" s="1079">
        <v>13.3</v>
      </c>
      <c r="X1778" s="1079">
        <v>5</v>
      </c>
      <c r="Y1778" s="1079">
        <v>12.3</v>
      </c>
      <c r="Z1778" s="1079">
        <v>2.8</v>
      </c>
      <c r="AA1778" s="1079">
        <v>17.100000000000001</v>
      </c>
      <c r="AB1778" s="1079">
        <v>6.7</v>
      </c>
      <c r="AC1778" s="1079">
        <v>15.5</v>
      </c>
      <c r="AD1778" s="1080">
        <v>3.7</v>
      </c>
    </row>
    <row r="1779" spans="1:30" x14ac:dyDescent="0.2">
      <c r="A1779">
        <f t="shared" si="61"/>
        <v>47</v>
      </c>
      <c r="B1779">
        <v>1770</v>
      </c>
      <c r="C1779" s="1078">
        <v>3</v>
      </c>
      <c r="D1779" s="1077" t="s">
        <v>3605</v>
      </c>
      <c r="E1779" s="1077" t="s">
        <v>4423</v>
      </c>
      <c r="F1779" s="1079">
        <v>1</v>
      </c>
      <c r="G1779" s="1079"/>
      <c r="H1779" s="1079"/>
      <c r="I1779" s="1079"/>
      <c r="J1779" s="1079"/>
      <c r="K1779" s="1079"/>
      <c r="L1779" s="1079"/>
      <c r="M1779" s="1079"/>
      <c r="N1779" s="1079"/>
      <c r="O1779" s="1079"/>
      <c r="P1779" s="1079"/>
      <c r="Q1779" s="1079"/>
      <c r="R1779" s="1079"/>
      <c r="S1779" s="1079"/>
      <c r="T1779" s="1079"/>
      <c r="U1779" s="1079"/>
      <c r="V1779" s="1079"/>
      <c r="W1779" s="1079">
        <v>13.8</v>
      </c>
      <c r="X1779" s="1079">
        <v>5</v>
      </c>
      <c r="Y1779" s="1079">
        <v>12.8</v>
      </c>
      <c r="Z1779" s="1079">
        <v>3</v>
      </c>
      <c r="AA1779" s="1079">
        <v>18</v>
      </c>
      <c r="AB1779" s="1079">
        <v>6.3</v>
      </c>
      <c r="AC1779" s="1079">
        <v>16.3</v>
      </c>
      <c r="AD1779" s="1080">
        <v>3.7</v>
      </c>
    </row>
    <row r="1780" spans="1:30" x14ac:dyDescent="0.2">
      <c r="A1780">
        <f t="shared" si="61"/>
        <v>47</v>
      </c>
      <c r="B1780">
        <v>1771</v>
      </c>
      <c r="C1780" s="1078">
        <v>3</v>
      </c>
      <c r="D1780" s="1077" t="s">
        <v>3605</v>
      </c>
      <c r="E1780" s="1077" t="s">
        <v>4424</v>
      </c>
      <c r="F1780" s="1079">
        <v>1</v>
      </c>
      <c r="G1780" s="1079"/>
      <c r="H1780" s="1079"/>
      <c r="I1780" s="1079"/>
      <c r="J1780" s="1079"/>
      <c r="K1780" s="1079"/>
      <c r="L1780" s="1079"/>
      <c r="M1780" s="1079"/>
      <c r="N1780" s="1079"/>
      <c r="O1780" s="1079"/>
      <c r="P1780" s="1079"/>
      <c r="Q1780" s="1079"/>
      <c r="R1780" s="1079"/>
      <c r="S1780" s="1079"/>
      <c r="T1780" s="1079"/>
      <c r="U1780" s="1079"/>
      <c r="V1780" s="1079"/>
      <c r="W1780" s="1079">
        <v>13.8</v>
      </c>
      <c r="X1780" s="1079">
        <v>5</v>
      </c>
      <c r="Y1780" s="1079">
        <v>12.8</v>
      </c>
      <c r="Z1780" s="1079">
        <v>3</v>
      </c>
      <c r="AA1780" s="1079">
        <v>18</v>
      </c>
      <c r="AB1780" s="1079">
        <v>6.3</v>
      </c>
      <c r="AC1780" s="1079">
        <v>16.3</v>
      </c>
      <c r="AD1780" s="1080">
        <v>3.7</v>
      </c>
    </row>
    <row r="1781" spans="1:30" x14ac:dyDescent="0.2">
      <c r="A1781">
        <f t="shared" si="61"/>
        <v>47</v>
      </c>
      <c r="B1781">
        <v>1772</v>
      </c>
      <c r="C1781" s="1078">
        <v>3</v>
      </c>
      <c r="D1781" s="1077" t="s">
        <v>3605</v>
      </c>
      <c r="E1781" s="1077" t="s">
        <v>4425</v>
      </c>
      <c r="F1781" s="1079">
        <v>1</v>
      </c>
      <c r="G1781" s="1079"/>
      <c r="H1781" s="1079"/>
      <c r="I1781" s="1079"/>
      <c r="J1781" s="1079"/>
      <c r="K1781" s="1079"/>
      <c r="L1781" s="1079"/>
      <c r="M1781" s="1079"/>
      <c r="N1781" s="1079"/>
      <c r="O1781" s="1079"/>
      <c r="P1781" s="1079"/>
      <c r="Q1781" s="1079"/>
      <c r="R1781" s="1079"/>
      <c r="S1781" s="1079"/>
      <c r="T1781" s="1079"/>
      <c r="U1781" s="1079"/>
      <c r="V1781" s="1079"/>
      <c r="W1781" s="1079">
        <v>15</v>
      </c>
      <c r="X1781" s="1079">
        <v>4.7</v>
      </c>
      <c r="Y1781" s="1079">
        <v>13.7</v>
      </c>
      <c r="Z1781" s="1079">
        <v>2.8</v>
      </c>
      <c r="AA1781" s="1079">
        <v>19.2</v>
      </c>
      <c r="AB1781" s="1079">
        <v>6.2</v>
      </c>
      <c r="AC1781" s="1079">
        <v>17.399999999999999</v>
      </c>
      <c r="AD1781" s="1080">
        <v>3.6</v>
      </c>
    </row>
    <row r="1782" spans="1:30" x14ac:dyDescent="0.2">
      <c r="A1782">
        <f t="shared" si="61"/>
        <v>47</v>
      </c>
      <c r="B1782">
        <v>1773</v>
      </c>
      <c r="C1782" s="1078">
        <v>3</v>
      </c>
      <c r="D1782" s="1077" t="s">
        <v>3605</v>
      </c>
      <c r="E1782" s="1077" t="s">
        <v>4426</v>
      </c>
      <c r="F1782" s="1079">
        <v>1</v>
      </c>
      <c r="G1782" s="1079"/>
      <c r="H1782" s="1079"/>
      <c r="I1782" s="1079"/>
      <c r="J1782" s="1079"/>
      <c r="K1782" s="1079"/>
      <c r="L1782" s="1079"/>
      <c r="M1782" s="1079"/>
      <c r="N1782" s="1079"/>
      <c r="O1782" s="1079"/>
      <c r="P1782" s="1079"/>
      <c r="Q1782" s="1079"/>
      <c r="R1782" s="1079"/>
      <c r="S1782" s="1079"/>
      <c r="T1782" s="1079"/>
      <c r="U1782" s="1079"/>
      <c r="V1782" s="1079"/>
      <c r="W1782" s="1079">
        <v>15</v>
      </c>
      <c r="X1782" s="1079">
        <v>4.7</v>
      </c>
      <c r="Y1782" s="1079">
        <v>13.7</v>
      </c>
      <c r="Z1782" s="1079">
        <v>2.8</v>
      </c>
      <c r="AA1782" s="1079">
        <v>19.2</v>
      </c>
      <c r="AB1782" s="1079">
        <v>6.2</v>
      </c>
      <c r="AC1782" s="1079">
        <v>17.399999999999999</v>
      </c>
      <c r="AD1782" s="1080">
        <v>3.6</v>
      </c>
    </row>
    <row r="1783" spans="1:30" x14ac:dyDescent="0.2">
      <c r="A1783">
        <f t="shared" si="61"/>
        <v>47</v>
      </c>
      <c r="B1783">
        <v>1774</v>
      </c>
      <c r="C1783" s="1078">
        <v>3</v>
      </c>
      <c r="D1783" s="1077" t="s">
        <v>3605</v>
      </c>
      <c r="E1783" s="1077" t="s">
        <v>4427</v>
      </c>
      <c r="F1783" s="1079">
        <v>1</v>
      </c>
      <c r="G1783" s="1079"/>
      <c r="H1783" s="1079"/>
      <c r="I1783" s="1079"/>
      <c r="J1783" s="1079"/>
      <c r="K1783" s="1079"/>
      <c r="L1783" s="1079"/>
      <c r="M1783" s="1079"/>
      <c r="N1783" s="1079"/>
      <c r="O1783" s="1079"/>
      <c r="P1783" s="1079"/>
      <c r="Q1783" s="1079"/>
      <c r="R1783" s="1079"/>
      <c r="S1783" s="1079"/>
      <c r="T1783" s="1079"/>
      <c r="U1783" s="1079"/>
      <c r="V1783" s="1079"/>
      <c r="W1783" s="1079">
        <v>17.399999999999999</v>
      </c>
      <c r="X1783" s="1079">
        <v>4.8</v>
      </c>
      <c r="Y1783" s="1079">
        <v>16.2</v>
      </c>
      <c r="Z1783" s="1079">
        <v>2.8</v>
      </c>
      <c r="AA1783" s="1079">
        <v>22.2</v>
      </c>
      <c r="AB1783" s="1079">
        <v>6.1</v>
      </c>
      <c r="AC1783" s="1079">
        <v>20.2</v>
      </c>
      <c r="AD1783" s="1080">
        <v>3.5</v>
      </c>
    </row>
    <row r="1784" spans="1:30" x14ac:dyDescent="0.2">
      <c r="A1784">
        <f t="shared" si="61"/>
        <v>47</v>
      </c>
      <c r="B1784">
        <v>1775</v>
      </c>
      <c r="C1784" s="1078">
        <v>3</v>
      </c>
      <c r="D1784" s="1077" t="s">
        <v>3605</v>
      </c>
      <c r="E1784" s="1077" t="s">
        <v>4428</v>
      </c>
      <c r="F1784" s="1079">
        <v>1</v>
      </c>
      <c r="G1784" s="1079"/>
      <c r="H1784" s="1079"/>
      <c r="I1784" s="1079"/>
      <c r="J1784" s="1079"/>
      <c r="K1784" s="1079"/>
      <c r="L1784" s="1079"/>
      <c r="M1784" s="1079"/>
      <c r="N1784" s="1079"/>
      <c r="O1784" s="1079"/>
      <c r="P1784" s="1079"/>
      <c r="Q1784" s="1079"/>
      <c r="R1784" s="1079"/>
      <c r="S1784" s="1079"/>
      <c r="T1784" s="1079"/>
      <c r="U1784" s="1079"/>
      <c r="V1784" s="1079"/>
      <c r="W1784" s="1079">
        <v>17.399999999999999</v>
      </c>
      <c r="X1784" s="1079">
        <v>4.8</v>
      </c>
      <c r="Y1784" s="1079">
        <v>16.2</v>
      </c>
      <c r="Z1784" s="1079">
        <v>2.8</v>
      </c>
      <c r="AA1784" s="1079">
        <v>22.2</v>
      </c>
      <c r="AB1784" s="1079">
        <v>6.1</v>
      </c>
      <c r="AC1784" s="1079">
        <v>20.2</v>
      </c>
      <c r="AD1784" s="1080">
        <v>3.5</v>
      </c>
    </row>
    <row r="1785" spans="1:30" x14ac:dyDescent="0.2">
      <c r="A1785">
        <f t="shared" si="61"/>
        <v>47</v>
      </c>
      <c r="B1785">
        <v>1776</v>
      </c>
      <c r="C1785" s="1078">
        <v>3</v>
      </c>
      <c r="D1785" s="1077" t="s">
        <v>3605</v>
      </c>
      <c r="E1785" s="1077" t="s">
        <v>4429</v>
      </c>
      <c r="F1785" s="1079">
        <v>1</v>
      </c>
      <c r="G1785" s="1079"/>
      <c r="H1785" s="1079"/>
      <c r="I1785" s="1079"/>
      <c r="J1785" s="1079"/>
      <c r="K1785" s="1079"/>
      <c r="L1785" s="1079"/>
      <c r="M1785" s="1079"/>
      <c r="N1785" s="1079"/>
      <c r="O1785" s="1079"/>
      <c r="P1785" s="1079"/>
      <c r="Q1785" s="1079"/>
      <c r="R1785" s="1079"/>
      <c r="S1785" s="1079"/>
      <c r="T1785" s="1079"/>
      <c r="U1785" s="1079"/>
      <c r="V1785" s="1079"/>
      <c r="W1785" s="1079">
        <v>19.7</v>
      </c>
      <c r="X1785" s="1079">
        <v>4.8</v>
      </c>
      <c r="Y1785" s="1079">
        <v>18.399999999999999</v>
      </c>
      <c r="Z1785" s="1079">
        <v>2.8</v>
      </c>
      <c r="AA1785" s="1079">
        <v>25.1</v>
      </c>
      <c r="AB1785" s="1079">
        <v>6</v>
      </c>
      <c r="AC1785" s="1079">
        <v>23</v>
      </c>
      <c r="AD1785" s="1080">
        <v>3.4</v>
      </c>
    </row>
    <row r="1786" spans="1:30" x14ac:dyDescent="0.2">
      <c r="A1786">
        <f t="shared" si="61"/>
        <v>47</v>
      </c>
      <c r="B1786">
        <v>1777</v>
      </c>
      <c r="C1786" s="1078">
        <v>3</v>
      </c>
      <c r="D1786" s="1077" t="s">
        <v>3605</v>
      </c>
      <c r="E1786" s="1077" t="s">
        <v>4430</v>
      </c>
      <c r="F1786" s="1079">
        <v>1</v>
      </c>
      <c r="G1786" s="1079"/>
      <c r="H1786" s="1079"/>
      <c r="I1786" s="1079"/>
      <c r="J1786" s="1079"/>
      <c r="K1786" s="1079"/>
      <c r="L1786" s="1079"/>
      <c r="M1786" s="1079"/>
      <c r="N1786" s="1079"/>
      <c r="O1786" s="1079"/>
      <c r="P1786" s="1079"/>
      <c r="Q1786" s="1079"/>
      <c r="R1786" s="1079"/>
      <c r="S1786" s="1079"/>
      <c r="T1786" s="1079"/>
      <c r="U1786" s="1079"/>
      <c r="V1786" s="1079"/>
      <c r="W1786" s="1079">
        <v>19.7</v>
      </c>
      <c r="X1786" s="1079">
        <v>4.8</v>
      </c>
      <c r="Y1786" s="1079">
        <v>18.399999999999999</v>
      </c>
      <c r="Z1786" s="1079">
        <v>2.8</v>
      </c>
      <c r="AA1786" s="1079">
        <v>26.3</v>
      </c>
      <c r="AB1786" s="1079">
        <v>6</v>
      </c>
      <c r="AC1786" s="1079">
        <v>23</v>
      </c>
      <c r="AD1786" s="1080">
        <v>3.4</v>
      </c>
    </row>
    <row r="1787" spans="1:30" x14ac:dyDescent="0.2">
      <c r="A1787">
        <f t="shared" si="61"/>
        <v>48</v>
      </c>
      <c r="B1787">
        <v>1778</v>
      </c>
      <c r="C1787" s="1078">
        <v>2</v>
      </c>
      <c r="D1787" s="1077" t="s">
        <v>4676</v>
      </c>
      <c r="E1787" s="1077" t="s">
        <v>5390</v>
      </c>
      <c r="F1787" s="1079">
        <v>4</v>
      </c>
      <c r="G1787" s="1186">
        <v>6.56</v>
      </c>
      <c r="H1787" s="1186">
        <v>2.5299999999999998</v>
      </c>
      <c r="I1787" s="1186">
        <v>7.8</v>
      </c>
      <c r="J1787" s="1186">
        <v>3.1</v>
      </c>
      <c r="K1787" s="1186">
        <v>4.9000000000000004</v>
      </c>
      <c r="L1787" s="1186">
        <v>4.3</v>
      </c>
      <c r="M1787" s="1186">
        <v>4.9000000000000004</v>
      </c>
      <c r="N1787" s="1186">
        <v>5</v>
      </c>
      <c r="O1787" s="1186">
        <v>5.0199999999999996</v>
      </c>
      <c r="P1787" s="1186">
        <v>6.62</v>
      </c>
      <c r="Q1787" s="1186">
        <v>7.7</v>
      </c>
      <c r="R1787" s="1186">
        <v>2.2999999999999998</v>
      </c>
      <c r="S1787" s="1186">
        <v>4.9000000000000004</v>
      </c>
      <c r="T1787" s="1186">
        <v>3.2</v>
      </c>
      <c r="U1787" s="1186">
        <v>5.14</v>
      </c>
      <c r="V1787" s="1186">
        <v>3.84</v>
      </c>
      <c r="W1787" s="1079"/>
      <c r="X1787" s="1079"/>
      <c r="Y1787" s="1079"/>
      <c r="Z1787" s="1079"/>
      <c r="AA1787" s="1079"/>
      <c r="AB1787" s="1079"/>
      <c r="AC1787" s="1079"/>
      <c r="AD1787" s="1080"/>
    </row>
    <row r="1788" spans="1:30" x14ac:dyDescent="0.2">
      <c r="A1788">
        <f t="shared" si="61"/>
        <v>48</v>
      </c>
      <c r="B1788">
        <v>1779</v>
      </c>
      <c r="C1788" s="1078">
        <v>2</v>
      </c>
      <c r="D1788" s="1077" t="s">
        <v>4676</v>
      </c>
      <c r="E1788" s="1077" t="s">
        <v>5391</v>
      </c>
      <c r="F1788" s="1079">
        <v>4</v>
      </c>
      <c r="G1788" s="1186">
        <v>12.28</v>
      </c>
      <c r="H1788" s="1186">
        <v>2.78</v>
      </c>
      <c r="I1788" s="1186">
        <v>13.9</v>
      </c>
      <c r="J1788" s="1186">
        <v>3.1</v>
      </c>
      <c r="K1788" s="1186">
        <v>9.9</v>
      </c>
      <c r="L1788" s="1186">
        <v>4.4000000000000004</v>
      </c>
      <c r="M1788" s="1186">
        <v>9.9</v>
      </c>
      <c r="N1788" s="1186">
        <v>5.2</v>
      </c>
      <c r="O1788" s="1186">
        <v>9.7420000000000009</v>
      </c>
      <c r="P1788" s="1186">
        <v>7.29</v>
      </c>
      <c r="Q1788" s="1186">
        <v>15.4</v>
      </c>
      <c r="R1788" s="1186">
        <v>2.5</v>
      </c>
      <c r="S1788" s="1186">
        <v>9.8000000000000007</v>
      </c>
      <c r="T1788" s="1186">
        <v>3.3</v>
      </c>
      <c r="U1788" s="1186">
        <v>11.1</v>
      </c>
      <c r="V1788" s="1186">
        <v>4.2699999999999996</v>
      </c>
      <c r="W1788" s="1079"/>
      <c r="X1788" s="1079"/>
      <c r="Y1788" s="1079"/>
      <c r="Z1788" s="1079"/>
      <c r="AA1788" s="1079"/>
      <c r="AB1788" s="1079"/>
      <c r="AC1788" s="1079"/>
      <c r="AD1788" s="1080"/>
    </row>
    <row r="1789" spans="1:30" x14ac:dyDescent="0.2">
      <c r="A1789">
        <f t="shared" si="61"/>
        <v>48</v>
      </c>
      <c r="B1789">
        <v>1780</v>
      </c>
      <c r="C1789" s="1078">
        <v>2</v>
      </c>
      <c r="D1789" s="1077" t="s">
        <v>4676</v>
      </c>
      <c r="E1789" s="1077" t="s">
        <v>5392</v>
      </c>
      <c r="F1789" s="1079">
        <v>4</v>
      </c>
      <c r="G1789" s="1186">
        <v>3.51</v>
      </c>
      <c r="H1789" s="1186">
        <v>2.39</v>
      </c>
      <c r="I1789" s="1186">
        <v>4.68</v>
      </c>
      <c r="J1789" s="1186">
        <v>3.15</v>
      </c>
      <c r="K1789" s="1186">
        <v>3.58</v>
      </c>
      <c r="L1789" s="1186">
        <v>4.13</v>
      </c>
      <c r="M1789" s="1186">
        <v>3.35</v>
      </c>
      <c r="N1789" s="1186">
        <v>4.95</v>
      </c>
      <c r="O1789" s="1186">
        <v>2.1</v>
      </c>
      <c r="P1789" s="1186">
        <v>5.43</v>
      </c>
      <c r="Q1789" s="1186">
        <v>3.87</v>
      </c>
      <c r="R1789" s="1186">
        <v>1.82</v>
      </c>
      <c r="S1789" s="1186">
        <v>4.91</v>
      </c>
      <c r="T1789" s="1186">
        <v>2.94</v>
      </c>
      <c r="U1789" s="1186">
        <v>1.99</v>
      </c>
      <c r="V1789" s="1186">
        <v>3.22</v>
      </c>
      <c r="W1789" s="1079"/>
      <c r="X1789" s="1079"/>
      <c r="Y1789" s="1079"/>
      <c r="Z1789" s="1079"/>
      <c r="AA1789" s="1079"/>
      <c r="AB1789" s="1079"/>
      <c r="AC1789" s="1079"/>
      <c r="AD1789" s="1080"/>
    </row>
    <row r="1790" spans="1:30" x14ac:dyDescent="0.2">
      <c r="A1790">
        <f t="shared" si="61"/>
        <v>48</v>
      </c>
      <c r="B1790">
        <v>1781</v>
      </c>
      <c r="C1790" s="1078">
        <v>2</v>
      </c>
      <c r="D1790" s="1077" t="s">
        <v>4676</v>
      </c>
      <c r="E1790" s="1077" t="s">
        <v>5393</v>
      </c>
      <c r="F1790" s="1079">
        <v>4</v>
      </c>
      <c r="G1790" s="1186">
        <v>3.58</v>
      </c>
      <c r="H1790" s="1186">
        <v>1.83</v>
      </c>
      <c r="I1790" s="1186">
        <v>5.91</v>
      </c>
      <c r="J1790" s="1186">
        <v>3.03</v>
      </c>
      <c r="K1790" s="1186">
        <v>5.04</v>
      </c>
      <c r="L1790" s="1186">
        <v>3.76</v>
      </c>
      <c r="M1790" s="1186">
        <v>5.91</v>
      </c>
      <c r="N1790" s="1186">
        <v>4.6900000000000004</v>
      </c>
      <c r="O1790" s="1186">
        <v>2.7</v>
      </c>
      <c r="P1790" s="1186">
        <v>7.42</v>
      </c>
      <c r="Q1790" s="1186">
        <v>5.2</v>
      </c>
      <c r="R1790" s="1186">
        <v>1.9</v>
      </c>
      <c r="S1790" s="1186">
        <v>5.6</v>
      </c>
      <c r="T1790" s="1186">
        <v>2.76</v>
      </c>
      <c r="U1790" s="1186">
        <v>1.99</v>
      </c>
      <c r="V1790" s="1186">
        <v>3.22</v>
      </c>
      <c r="W1790" s="1079"/>
      <c r="X1790" s="1079"/>
      <c r="Y1790" s="1079"/>
      <c r="Z1790" s="1079"/>
      <c r="AA1790" s="1079"/>
      <c r="AB1790" s="1079"/>
      <c r="AC1790" s="1079"/>
      <c r="AD1790" s="1080"/>
    </row>
    <row r="1791" spans="1:30" x14ac:dyDescent="0.2">
      <c r="A1791">
        <f t="shared" si="61"/>
        <v>48</v>
      </c>
      <c r="B1791">
        <v>1782</v>
      </c>
      <c r="C1791" s="1078">
        <v>2</v>
      </c>
      <c r="D1791" s="1077" t="s">
        <v>4676</v>
      </c>
      <c r="E1791" s="1077" t="s">
        <v>5394</v>
      </c>
      <c r="F1791" s="1079">
        <v>4</v>
      </c>
      <c r="G1791" s="1186">
        <v>5.5</v>
      </c>
      <c r="H1791" s="1186">
        <v>2.2000000000000002</v>
      </c>
      <c r="I1791" s="1186">
        <v>7.39</v>
      </c>
      <c r="J1791" s="1186">
        <v>3.24</v>
      </c>
      <c r="K1791" s="1186">
        <v>3.65</v>
      </c>
      <c r="L1791" s="1186">
        <v>4.03</v>
      </c>
      <c r="M1791" s="1186">
        <v>7.39</v>
      </c>
      <c r="N1791" s="1186">
        <v>4.8600000000000003</v>
      </c>
      <c r="O1791" s="1186">
        <v>2.7</v>
      </c>
      <c r="P1791" s="1186">
        <v>7.42</v>
      </c>
      <c r="Q1791" s="1186">
        <v>5.2</v>
      </c>
      <c r="R1791" s="1186">
        <v>1.9</v>
      </c>
      <c r="S1791" s="1186">
        <v>5.6</v>
      </c>
      <c r="T1791" s="1186">
        <v>2.76</v>
      </c>
      <c r="U1791" s="1186">
        <v>2.4500000000000002</v>
      </c>
      <c r="V1791" s="1186">
        <v>3.36</v>
      </c>
      <c r="W1791" s="1079"/>
      <c r="X1791" s="1079"/>
      <c r="Y1791" s="1079"/>
      <c r="Z1791" s="1079"/>
      <c r="AA1791" s="1079"/>
      <c r="AB1791" s="1079"/>
      <c r="AC1791" s="1079"/>
      <c r="AD1791" s="1080"/>
    </row>
    <row r="1792" spans="1:30" x14ac:dyDescent="0.2">
      <c r="A1792">
        <f t="shared" si="61"/>
        <v>48</v>
      </c>
      <c r="B1792">
        <v>1783</v>
      </c>
      <c r="C1792" s="1078">
        <v>2</v>
      </c>
      <c r="D1792" s="1077" t="s">
        <v>4676</v>
      </c>
      <c r="E1792" s="1077" t="s">
        <v>5395</v>
      </c>
      <c r="F1792" s="1079">
        <v>4</v>
      </c>
      <c r="G1792" s="1186">
        <v>4.92</v>
      </c>
      <c r="H1792" s="1186">
        <v>2.21</v>
      </c>
      <c r="I1792" s="1186">
        <v>9.57</v>
      </c>
      <c r="J1792" s="1186">
        <v>2.74</v>
      </c>
      <c r="K1792" s="1186">
        <v>7.6</v>
      </c>
      <c r="L1792" s="1186">
        <v>3.79</v>
      </c>
      <c r="M1792" s="1186">
        <v>10.23</v>
      </c>
      <c r="N1792" s="1186">
        <v>4.95</v>
      </c>
      <c r="O1792" s="1186">
        <v>12.84</v>
      </c>
      <c r="P1792" s="1186">
        <v>5.95</v>
      </c>
      <c r="Q1792" s="1186">
        <v>5.05</v>
      </c>
      <c r="R1792" s="1186">
        <v>1.68</v>
      </c>
      <c r="S1792" s="1186">
        <v>8.26</v>
      </c>
      <c r="T1792" s="1186">
        <v>2.42</v>
      </c>
      <c r="U1792" s="1186">
        <v>10.28</v>
      </c>
      <c r="V1792" s="1186">
        <v>3.35</v>
      </c>
      <c r="W1792" s="1079"/>
      <c r="X1792" s="1079"/>
      <c r="Y1792" s="1079"/>
      <c r="Z1792" s="1079"/>
      <c r="AA1792" s="1079"/>
      <c r="AB1792" s="1079"/>
      <c r="AC1792" s="1079"/>
      <c r="AD1792" s="1080"/>
    </row>
    <row r="1793" spans="1:30" x14ac:dyDescent="0.2">
      <c r="A1793">
        <f t="shared" si="61"/>
        <v>48</v>
      </c>
      <c r="B1793">
        <v>1784</v>
      </c>
      <c r="C1793" s="1078">
        <v>2</v>
      </c>
      <c r="D1793" s="1077" t="s">
        <v>4676</v>
      </c>
      <c r="E1793" s="1077" t="s">
        <v>5396</v>
      </c>
      <c r="F1793" s="1079">
        <v>4</v>
      </c>
      <c r="G1793" s="1186">
        <v>5.79</v>
      </c>
      <c r="H1793" s="1186">
        <v>2.46</v>
      </c>
      <c r="I1793" s="1186">
        <v>10.6</v>
      </c>
      <c r="J1793" s="1186">
        <v>2.65</v>
      </c>
      <c r="K1793" s="1186">
        <v>8.8000000000000007</v>
      </c>
      <c r="L1793" s="1186">
        <v>3.72</v>
      </c>
      <c r="M1793" s="1186">
        <v>11.7</v>
      </c>
      <c r="N1793" s="1186">
        <v>4.54</v>
      </c>
      <c r="O1793" s="1186">
        <v>14.89</v>
      </c>
      <c r="P1793" s="1186">
        <v>6.11</v>
      </c>
      <c r="Q1793" s="1186">
        <v>6.53</v>
      </c>
      <c r="R1793" s="1186">
        <v>1.92</v>
      </c>
      <c r="S1793" s="1186">
        <v>9.89</v>
      </c>
      <c r="T1793" s="1186">
        <v>2.71</v>
      </c>
      <c r="U1793" s="1186">
        <v>12.28</v>
      </c>
      <c r="V1793" s="1186">
        <v>3.3</v>
      </c>
      <c r="W1793" s="1079"/>
      <c r="X1793" s="1079"/>
      <c r="Y1793" s="1079"/>
      <c r="Z1793" s="1079"/>
      <c r="AA1793" s="1079"/>
      <c r="AB1793" s="1079"/>
      <c r="AC1793" s="1079"/>
      <c r="AD1793" s="1080"/>
    </row>
    <row r="1794" spans="1:30" x14ac:dyDescent="0.2">
      <c r="A1794">
        <f t="shared" si="61"/>
        <v>48</v>
      </c>
      <c r="B1794">
        <v>1785</v>
      </c>
      <c r="C1794" s="1078">
        <v>2</v>
      </c>
      <c r="D1794" s="1077" t="s">
        <v>4676</v>
      </c>
      <c r="E1794" s="1077" t="s">
        <v>5397</v>
      </c>
      <c r="F1794" s="1079">
        <v>4</v>
      </c>
      <c r="G1794" s="1186">
        <v>8.81</v>
      </c>
      <c r="H1794" s="1186">
        <v>2.2000000000000002</v>
      </c>
      <c r="I1794" s="1186">
        <v>13.3</v>
      </c>
      <c r="J1794" s="1186">
        <v>2.58</v>
      </c>
      <c r="K1794" s="1186">
        <v>10.89</v>
      </c>
      <c r="L1794" s="1186">
        <v>3.38</v>
      </c>
      <c r="M1794" s="1186">
        <v>15.7</v>
      </c>
      <c r="N1794" s="1186">
        <v>4.17</v>
      </c>
      <c r="O1794" s="1186">
        <v>22.36</v>
      </c>
      <c r="P1794" s="1186">
        <v>5.22</v>
      </c>
      <c r="Q1794" s="1186">
        <v>9.42</v>
      </c>
      <c r="R1794" s="1186">
        <v>1.85</v>
      </c>
      <c r="S1794" s="1186">
        <v>12.97</v>
      </c>
      <c r="T1794" s="1186">
        <v>2.66</v>
      </c>
      <c r="U1794" s="1186">
        <v>15.44</v>
      </c>
      <c r="V1794" s="1186">
        <v>3.3</v>
      </c>
      <c r="W1794" s="1079"/>
      <c r="X1794" s="1079"/>
      <c r="Y1794" s="1079"/>
      <c r="Z1794" s="1079"/>
      <c r="AA1794" s="1079"/>
      <c r="AB1794" s="1079"/>
      <c r="AC1794" s="1079"/>
      <c r="AD1794" s="1080"/>
    </row>
    <row r="1795" spans="1:30" x14ac:dyDescent="0.2">
      <c r="A1795">
        <f t="shared" si="61"/>
        <v>48</v>
      </c>
      <c r="B1795">
        <v>1786</v>
      </c>
      <c r="C1795" s="1078">
        <v>2</v>
      </c>
      <c r="D1795" s="1077" t="s">
        <v>4676</v>
      </c>
      <c r="E1795" s="1077" t="s">
        <v>5626</v>
      </c>
      <c r="F1795" s="1079">
        <v>4</v>
      </c>
      <c r="G1795" s="1186">
        <v>3.89</v>
      </c>
      <c r="H1795" s="1186">
        <v>2.36</v>
      </c>
      <c r="I1795" s="1186">
        <v>4.93</v>
      </c>
      <c r="J1795" s="1186">
        <v>2.91</v>
      </c>
      <c r="K1795" s="1186">
        <v>4.01</v>
      </c>
      <c r="L1795" s="1186">
        <v>4.0199999999999996</v>
      </c>
      <c r="M1795" s="1186">
        <v>4.0599999999999996</v>
      </c>
      <c r="N1795" s="1186">
        <v>4.8899999999999997</v>
      </c>
      <c r="O1795" s="1186">
        <v>2.74</v>
      </c>
      <c r="P1795" s="1186">
        <v>5.01</v>
      </c>
      <c r="Q1795" s="1186">
        <v>4.51</v>
      </c>
      <c r="R1795" s="1186">
        <v>2.0499999999999998</v>
      </c>
      <c r="S1795" s="1186">
        <v>3.97</v>
      </c>
      <c r="T1795" s="1186">
        <v>3.01</v>
      </c>
      <c r="U1795" s="1186">
        <v>2.48</v>
      </c>
      <c r="V1795" s="1186">
        <v>3.22</v>
      </c>
      <c r="W1795" s="1079"/>
      <c r="X1795" s="1079"/>
      <c r="Y1795" s="1079"/>
      <c r="Z1795" s="1079"/>
      <c r="AA1795" s="1079"/>
      <c r="AB1795" s="1079"/>
      <c r="AC1795" s="1079"/>
      <c r="AD1795" s="1080"/>
    </row>
    <row r="1796" spans="1:30" x14ac:dyDescent="0.2">
      <c r="A1796">
        <f t="shared" si="61"/>
        <v>48</v>
      </c>
      <c r="B1796">
        <v>1787</v>
      </c>
      <c r="C1796" s="1078">
        <v>2</v>
      </c>
      <c r="D1796" s="1077" t="s">
        <v>4676</v>
      </c>
      <c r="E1796" s="1077" t="s">
        <v>5627</v>
      </c>
      <c r="F1796" s="1079">
        <v>4</v>
      </c>
      <c r="G1796" s="1186">
        <v>4.57</v>
      </c>
      <c r="H1796" s="1186">
        <v>2.2799999999999998</v>
      </c>
      <c r="I1796" s="1186">
        <v>5.84</v>
      </c>
      <c r="J1796" s="1186">
        <v>2.82</v>
      </c>
      <c r="K1796" s="1186">
        <v>5.23</v>
      </c>
      <c r="L1796" s="1186">
        <v>3.9</v>
      </c>
      <c r="M1796" s="1186">
        <v>4.9800000000000004</v>
      </c>
      <c r="N1796" s="1186">
        <v>4.88</v>
      </c>
      <c r="O1796" s="1186">
        <v>2.74</v>
      </c>
      <c r="P1796" s="1186">
        <v>5.01</v>
      </c>
      <c r="Q1796" s="1186">
        <v>5.38</v>
      </c>
      <c r="R1796" s="1186">
        <v>2</v>
      </c>
      <c r="S1796" s="1186">
        <v>4.38</v>
      </c>
      <c r="T1796" s="1186">
        <v>2.99</v>
      </c>
      <c r="U1796" s="1186">
        <v>2.48</v>
      </c>
      <c r="V1796" s="1186">
        <v>3.22</v>
      </c>
      <c r="W1796" s="1079"/>
      <c r="X1796" s="1079"/>
      <c r="Y1796" s="1079"/>
      <c r="Z1796" s="1079"/>
      <c r="AA1796" s="1079"/>
      <c r="AB1796" s="1079"/>
      <c r="AC1796" s="1079"/>
      <c r="AD1796" s="1080"/>
    </row>
    <row r="1797" spans="1:30" x14ac:dyDescent="0.2">
      <c r="A1797">
        <f t="shared" si="61"/>
        <v>48</v>
      </c>
      <c r="B1797">
        <v>1788</v>
      </c>
      <c r="C1797" s="1078">
        <v>2</v>
      </c>
      <c r="D1797" s="1077" t="s">
        <v>4676</v>
      </c>
      <c r="E1797" s="1077" t="s">
        <v>5628</v>
      </c>
      <c r="F1797" s="1079">
        <v>4</v>
      </c>
      <c r="G1797" s="1186">
        <v>7.11</v>
      </c>
      <c r="H1797" s="1186">
        <v>2.56</v>
      </c>
      <c r="I1797" s="1186">
        <v>8.69</v>
      </c>
      <c r="J1797" s="1186">
        <v>3.05</v>
      </c>
      <c r="K1797" s="1186">
        <v>5.86</v>
      </c>
      <c r="L1797" s="1186">
        <v>3.86</v>
      </c>
      <c r="M1797" s="1186">
        <v>6.87</v>
      </c>
      <c r="N1797" s="1186">
        <v>4.12</v>
      </c>
      <c r="O1797" s="1186">
        <v>3.29</v>
      </c>
      <c r="P1797" s="1186">
        <v>4.63</v>
      </c>
      <c r="Q1797" s="1186">
        <v>8.31</v>
      </c>
      <c r="R1797" s="1186">
        <v>2.25</v>
      </c>
      <c r="S1797" s="1186">
        <v>6.87</v>
      </c>
      <c r="T1797" s="1186">
        <v>3.12</v>
      </c>
      <c r="U1797" s="1186">
        <v>3.27</v>
      </c>
      <c r="V1797" s="1186">
        <v>3.36</v>
      </c>
      <c r="W1797" s="1079"/>
      <c r="X1797" s="1079"/>
      <c r="Y1797" s="1079"/>
      <c r="Z1797" s="1079"/>
      <c r="AA1797" s="1079"/>
      <c r="AB1797" s="1079"/>
      <c r="AC1797" s="1079"/>
      <c r="AD1797" s="1080"/>
    </row>
    <row r="1798" spans="1:30" x14ac:dyDescent="0.2">
      <c r="A1798">
        <f t="shared" si="61"/>
        <v>48</v>
      </c>
      <c r="B1798">
        <v>1789</v>
      </c>
      <c r="C1798" s="1078">
        <v>2</v>
      </c>
      <c r="D1798" s="1077" t="s">
        <v>4676</v>
      </c>
      <c r="E1798" s="1077" t="s">
        <v>4677</v>
      </c>
      <c r="F1798" s="1079">
        <v>2</v>
      </c>
      <c r="G1798" s="1186">
        <v>7.95</v>
      </c>
      <c r="H1798" s="1186">
        <v>2.52</v>
      </c>
      <c r="I1798" s="1186">
        <v>11.04</v>
      </c>
      <c r="J1798" s="1186">
        <v>3.28</v>
      </c>
      <c r="K1798" s="1186">
        <v>7.2549999999999999</v>
      </c>
      <c r="L1798" s="1186">
        <v>4.1900000000000004</v>
      </c>
      <c r="M1798" s="1186">
        <v>8.266</v>
      </c>
      <c r="N1798" s="1186">
        <v>4.8</v>
      </c>
      <c r="O1798" s="1186">
        <v>11.04</v>
      </c>
      <c r="P1798" s="1186">
        <v>6.56</v>
      </c>
      <c r="Q1798" s="1186">
        <v>10.76</v>
      </c>
      <c r="R1798" s="1186">
        <v>2.1800000000000002</v>
      </c>
      <c r="S1798" s="1186">
        <v>7.74</v>
      </c>
      <c r="T1798" s="1186">
        <v>3.11</v>
      </c>
      <c r="U1798" s="1186">
        <v>9.6999999999999993</v>
      </c>
      <c r="V1798" s="1186">
        <v>3.85</v>
      </c>
      <c r="W1798" s="1079"/>
      <c r="X1798" s="1079"/>
      <c r="Y1798" s="1079"/>
      <c r="Z1798" s="1079"/>
      <c r="AA1798" s="1079"/>
      <c r="AB1798" s="1079"/>
      <c r="AC1798" s="1079"/>
      <c r="AD1798" s="1080"/>
    </row>
    <row r="1799" spans="1:30" x14ac:dyDescent="0.2">
      <c r="A1799">
        <f t="shared" si="61"/>
        <v>48</v>
      </c>
      <c r="B1799">
        <v>1790</v>
      </c>
      <c r="C1799" s="1078">
        <v>2</v>
      </c>
      <c r="D1799" s="1077" t="s">
        <v>4676</v>
      </c>
      <c r="E1799" s="1077" t="s">
        <v>4679</v>
      </c>
      <c r="F1799" s="1079">
        <v>2</v>
      </c>
      <c r="G1799" s="1186">
        <v>18.600000000000001</v>
      </c>
      <c r="H1799" s="1186">
        <v>2.2999999999999998</v>
      </c>
      <c r="I1799" s="1186">
        <v>22.6</v>
      </c>
      <c r="J1799" s="1186">
        <v>2.9</v>
      </c>
      <c r="K1799" s="1186">
        <v>27.6</v>
      </c>
      <c r="L1799" s="1186">
        <v>3.6</v>
      </c>
      <c r="M1799" s="1186">
        <v>32.700000000000003</v>
      </c>
      <c r="N1799" s="1186">
        <v>4.0999999999999996</v>
      </c>
      <c r="O1799" s="1186">
        <v>43.5</v>
      </c>
      <c r="P1799" s="1186">
        <v>5</v>
      </c>
      <c r="Q1799" s="1186">
        <v>21.2</v>
      </c>
      <c r="R1799" s="1186">
        <v>1.7</v>
      </c>
      <c r="S1799" s="1186">
        <v>31.6</v>
      </c>
      <c r="T1799" s="1186">
        <v>2.7</v>
      </c>
      <c r="U1799" s="1186">
        <v>40.799999999999997</v>
      </c>
      <c r="V1799" s="1186">
        <v>3.3</v>
      </c>
      <c r="W1799" s="1079"/>
      <c r="X1799" s="1079"/>
      <c r="Y1799" s="1079"/>
      <c r="Z1799" s="1079"/>
      <c r="AA1799" s="1079"/>
      <c r="AB1799" s="1079"/>
      <c r="AC1799" s="1079"/>
      <c r="AD1799" s="1080"/>
    </row>
    <row r="1800" spans="1:30" x14ac:dyDescent="0.2">
      <c r="A1800">
        <f t="shared" si="61"/>
        <v>48</v>
      </c>
      <c r="B1800">
        <v>1791</v>
      </c>
      <c r="C1800" s="1078">
        <v>2</v>
      </c>
      <c r="D1800" s="1077" t="s">
        <v>4676</v>
      </c>
      <c r="E1800" s="1077" t="s">
        <v>5398</v>
      </c>
      <c r="F1800" s="1079">
        <v>2</v>
      </c>
      <c r="G1800" s="1186">
        <v>31.7</v>
      </c>
      <c r="H1800" s="1186">
        <v>2.6</v>
      </c>
      <c r="I1800" s="1186">
        <v>38</v>
      </c>
      <c r="J1800" s="1186">
        <v>3</v>
      </c>
      <c r="K1800" s="1186">
        <v>26.6</v>
      </c>
      <c r="L1800" s="1186">
        <v>3.6</v>
      </c>
      <c r="M1800" s="1186">
        <v>35.299999999999997</v>
      </c>
      <c r="N1800" s="1186">
        <v>4.5</v>
      </c>
      <c r="O1800" s="1186">
        <v>44.4</v>
      </c>
      <c r="P1800" s="1186">
        <v>5.25</v>
      </c>
      <c r="Q1800" s="1186">
        <v>36.799999999999997</v>
      </c>
      <c r="R1800" s="1186">
        <v>2.2999999999999998</v>
      </c>
      <c r="S1800" s="1186">
        <v>31.7</v>
      </c>
      <c r="T1800" s="1186">
        <v>3.2</v>
      </c>
      <c r="U1800" s="1186">
        <v>40.5</v>
      </c>
      <c r="V1800" s="1186">
        <v>3.9</v>
      </c>
      <c r="W1800" s="1079"/>
      <c r="X1800" s="1079"/>
      <c r="Y1800" s="1079"/>
      <c r="Z1800" s="1079"/>
      <c r="AA1800" s="1079"/>
      <c r="AB1800" s="1079"/>
      <c r="AC1800" s="1079"/>
      <c r="AD1800" s="1080"/>
    </row>
    <row r="1801" spans="1:30" x14ac:dyDescent="0.2">
      <c r="A1801">
        <f t="shared" si="61"/>
        <v>48</v>
      </c>
      <c r="B1801">
        <v>1792</v>
      </c>
      <c r="C1801" s="1078">
        <v>2</v>
      </c>
      <c r="D1801" s="1077" t="s">
        <v>4676</v>
      </c>
      <c r="E1801" s="1077" t="s">
        <v>4678</v>
      </c>
      <c r="F1801" s="1079">
        <v>1</v>
      </c>
      <c r="G1801" s="1186">
        <v>5.7</v>
      </c>
      <c r="H1801" s="1186">
        <v>2.2000000000000002</v>
      </c>
      <c r="I1801" s="1186">
        <v>7.1</v>
      </c>
      <c r="J1801" s="1186">
        <v>3.1</v>
      </c>
      <c r="K1801" s="1186">
        <v>9.4</v>
      </c>
      <c r="L1801" s="1186">
        <v>4</v>
      </c>
      <c r="M1801" s="1186">
        <v>11.5</v>
      </c>
      <c r="N1801" s="1186">
        <v>4.8</v>
      </c>
      <c r="O1801" s="1186">
        <v>14.3</v>
      </c>
      <c r="P1801" s="1186">
        <v>6</v>
      </c>
      <c r="Q1801" s="1186">
        <v>6.5</v>
      </c>
      <c r="R1801" s="1186">
        <v>2</v>
      </c>
      <c r="S1801" s="1186">
        <v>10.3</v>
      </c>
      <c r="T1801" s="1186">
        <v>3.1</v>
      </c>
      <c r="U1801" s="1186">
        <v>12.9</v>
      </c>
      <c r="V1801" s="1186">
        <v>3.6</v>
      </c>
      <c r="W1801" s="1079"/>
      <c r="X1801" s="1079"/>
      <c r="Y1801" s="1079"/>
      <c r="Z1801" s="1079"/>
      <c r="AA1801" s="1079"/>
      <c r="AB1801" s="1079"/>
      <c r="AC1801" s="1079"/>
      <c r="AD1801" s="1080"/>
    </row>
    <row r="1802" spans="1:30" x14ac:dyDescent="0.2">
      <c r="A1802">
        <f t="shared" si="61"/>
        <v>48</v>
      </c>
      <c r="B1802">
        <v>1793</v>
      </c>
      <c r="C1802" s="1078">
        <v>2</v>
      </c>
      <c r="D1802" s="1077" t="s">
        <v>4676</v>
      </c>
      <c r="E1802" s="1077" t="s">
        <v>4929</v>
      </c>
      <c r="F1802" s="1079">
        <v>4</v>
      </c>
      <c r="G1802" s="1186">
        <v>8.6</v>
      </c>
      <c r="H1802" s="1186">
        <v>2.2000000000000002</v>
      </c>
      <c r="I1802" s="1186">
        <v>10.7</v>
      </c>
      <c r="J1802" s="1186">
        <v>2.7</v>
      </c>
      <c r="K1802" s="1186">
        <v>13.4</v>
      </c>
      <c r="L1802" s="1186">
        <v>3.3</v>
      </c>
      <c r="M1802" s="1186">
        <v>16.399999999999999</v>
      </c>
      <c r="N1802" s="1186">
        <v>4</v>
      </c>
      <c r="O1802" s="1186">
        <v>22.4</v>
      </c>
      <c r="P1802" s="1186">
        <v>5.2</v>
      </c>
      <c r="Q1802" s="1186">
        <v>9.1999999999999993</v>
      </c>
      <c r="R1802" s="1186">
        <v>1.6</v>
      </c>
      <c r="S1802" s="1186">
        <v>15.3</v>
      </c>
      <c r="T1802" s="1186">
        <v>2.5</v>
      </c>
      <c r="U1802" s="1186">
        <v>21.4</v>
      </c>
      <c r="V1802" s="1186">
        <v>3.5</v>
      </c>
      <c r="W1802" s="1079"/>
      <c r="X1802" s="1079"/>
      <c r="Y1802" s="1079"/>
      <c r="Z1802" s="1079"/>
      <c r="AA1802" s="1079"/>
      <c r="AB1802" s="1079"/>
      <c r="AC1802" s="1079"/>
      <c r="AD1802" s="1080"/>
    </row>
    <row r="1803" spans="1:30" x14ac:dyDescent="0.2">
      <c r="A1803">
        <f t="shared" si="61"/>
        <v>48</v>
      </c>
      <c r="B1803">
        <v>1794</v>
      </c>
      <c r="C1803" s="1078">
        <v>2</v>
      </c>
      <c r="D1803" s="1077" t="s">
        <v>4676</v>
      </c>
      <c r="E1803" s="1077" t="s">
        <v>5629</v>
      </c>
      <c r="F1803" s="1079">
        <v>2</v>
      </c>
      <c r="G1803" s="1186">
        <v>11.39</v>
      </c>
      <c r="H1803" s="1186">
        <v>2.67</v>
      </c>
      <c r="I1803" s="1186">
        <v>13.89</v>
      </c>
      <c r="J1803" s="1186">
        <v>3.11</v>
      </c>
      <c r="K1803" s="1186">
        <v>15.86</v>
      </c>
      <c r="L1803" s="1186">
        <v>3.7</v>
      </c>
      <c r="M1803" s="1186">
        <v>11.67</v>
      </c>
      <c r="N1803" s="1186">
        <v>5.04</v>
      </c>
      <c r="O1803" s="1186">
        <v>13.57</v>
      </c>
      <c r="P1803" s="1186">
        <v>5.93</v>
      </c>
      <c r="Q1803" s="1186">
        <v>13.19</v>
      </c>
      <c r="R1803" s="1186">
        <v>2.25</v>
      </c>
      <c r="S1803" s="1186">
        <v>10.79</v>
      </c>
      <c r="T1803" s="1186">
        <v>3.17</v>
      </c>
      <c r="U1803" s="1186">
        <v>12.23</v>
      </c>
      <c r="V1803" s="1186">
        <v>3.63</v>
      </c>
      <c r="W1803" s="1079"/>
      <c r="X1803" s="1079"/>
      <c r="Y1803" s="1079"/>
      <c r="Z1803" s="1079"/>
      <c r="AA1803" s="1079"/>
      <c r="AB1803" s="1079"/>
      <c r="AC1803" s="1079"/>
      <c r="AD1803" s="1080"/>
    </row>
    <row r="1804" spans="1:30" x14ac:dyDescent="0.2">
      <c r="A1804">
        <f t="shared" ref="A1804:A1867" si="62">A1803+(D1804&lt;&gt;D1803)*1</f>
        <v>48</v>
      </c>
      <c r="B1804">
        <v>1795</v>
      </c>
      <c r="C1804" s="1078">
        <v>2</v>
      </c>
      <c r="D1804" s="1077" t="s">
        <v>4676</v>
      </c>
      <c r="E1804" s="1077" t="s">
        <v>5630</v>
      </c>
      <c r="F1804" s="1079">
        <v>2</v>
      </c>
      <c r="G1804" s="1186">
        <v>13.74</v>
      </c>
      <c r="H1804" s="1186">
        <v>2.6</v>
      </c>
      <c r="I1804" s="1186">
        <v>18.350000000000001</v>
      </c>
      <c r="J1804" s="1186">
        <v>3.24</v>
      </c>
      <c r="K1804" s="1186">
        <v>18.63</v>
      </c>
      <c r="L1804" s="1186">
        <v>3.65</v>
      </c>
      <c r="M1804" s="1186">
        <v>14.17</v>
      </c>
      <c r="N1804" s="1186">
        <v>4.8099999999999996</v>
      </c>
      <c r="O1804" s="1186">
        <v>17.989999999999998</v>
      </c>
      <c r="P1804" s="1186">
        <v>6.2</v>
      </c>
      <c r="Q1804" s="1186">
        <v>18.190000000000001</v>
      </c>
      <c r="R1804" s="1186">
        <v>2.31</v>
      </c>
      <c r="S1804" s="1186">
        <v>13.05</v>
      </c>
      <c r="T1804" s="1186">
        <v>3.08</v>
      </c>
      <c r="U1804" s="1186">
        <v>16.38</v>
      </c>
      <c r="V1804" s="1186">
        <v>3.86</v>
      </c>
      <c r="W1804" s="1079"/>
      <c r="X1804" s="1079"/>
      <c r="Y1804" s="1079"/>
      <c r="Z1804" s="1079"/>
      <c r="AA1804" s="1079"/>
      <c r="AB1804" s="1079"/>
      <c r="AC1804" s="1079"/>
      <c r="AD1804" s="1080"/>
    </row>
    <row r="1805" spans="1:30" x14ac:dyDescent="0.2">
      <c r="A1805">
        <f t="shared" si="62"/>
        <v>48</v>
      </c>
      <c r="B1805">
        <v>1796</v>
      </c>
      <c r="C1805" s="1078">
        <v>3</v>
      </c>
      <c r="D1805" s="1077" t="s">
        <v>4676</v>
      </c>
      <c r="E1805" s="1077" t="s">
        <v>5399</v>
      </c>
      <c r="F1805" s="1079">
        <v>4</v>
      </c>
      <c r="G1805" s="1079"/>
      <c r="H1805" s="1079"/>
      <c r="I1805" s="1079"/>
      <c r="J1805" s="1079"/>
      <c r="K1805" s="1079"/>
      <c r="L1805" s="1079"/>
      <c r="M1805" s="1079"/>
      <c r="N1805" s="1079"/>
      <c r="O1805" s="1079"/>
      <c r="P1805" s="1079"/>
      <c r="Q1805" s="1079"/>
      <c r="R1805" s="1079"/>
      <c r="S1805" s="1079"/>
      <c r="T1805" s="1079"/>
      <c r="U1805" s="1079"/>
      <c r="V1805" s="1079"/>
      <c r="W1805" s="1186">
        <v>8.6</v>
      </c>
      <c r="X1805" s="1186">
        <v>4.5999999999999996</v>
      </c>
      <c r="Y1805" s="1186">
        <v>8.6</v>
      </c>
      <c r="Z1805" s="1186">
        <v>3.5</v>
      </c>
      <c r="AA1805" s="1186"/>
      <c r="AB1805" s="1186"/>
      <c r="AC1805" s="1186"/>
      <c r="AD1805" s="1187"/>
    </row>
    <row r="1806" spans="1:30" x14ac:dyDescent="0.2">
      <c r="A1806">
        <f t="shared" si="62"/>
        <v>48</v>
      </c>
      <c r="B1806">
        <v>1797</v>
      </c>
      <c r="C1806" s="1078">
        <v>3</v>
      </c>
      <c r="D1806" s="1077" t="s">
        <v>4676</v>
      </c>
      <c r="E1806" s="1077" t="s">
        <v>5400</v>
      </c>
      <c r="F1806" s="1079">
        <v>4</v>
      </c>
      <c r="G1806" s="1079"/>
      <c r="H1806" s="1079"/>
      <c r="I1806" s="1079"/>
      <c r="J1806" s="1079"/>
      <c r="K1806" s="1079"/>
      <c r="L1806" s="1079"/>
      <c r="M1806" s="1079"/>
      <c r="N1806" s="1079"/>
      <c r="O1806" s="1079"/>
      <c r="P1806" s="1079"/>
      <c r="Q1806" s="1079"/>
      <c r="R1806" s="1079"/>
      <c r="S1806" s="1079"/>
      <c r="T1806" s="1079"/>
      <c r="U1806" s="1079"/>
      <c r="V1806" s="1079"/>
      <c r="W1806" s="1186">
        <v>13.7</v>
      </c>
      <c r="X1806" s="1186">
        <v>4.5999999999999996</v>
      </c>
      <c r="Y1806" s="1186">
        <v>13.4</v>
      </c>
      <c r="Z1806" s="1186">
        <v>3.6</v>
      </c>
      <c r="AA1806" s="1186"/>
      <c r="AB1806" s="1186"/>
      <c r="AC1806" s="1186"/>
      <c r="AD1806" s="1187"/>
    </row>
    <row r="1807" spans="1:30" x14ac:dyDescent="0.2">
      <c r="A1807">
        <f t="shared" si="62"/>
        <v>48</v>
      </c>
      <c r="B1807">
        <v>1798</v>
      </c>
      <c r="C1807" s="1078">
        <v>3</v>
      </c>
      <c r="D1807" s="1077" t="s">
        <v>4676</v>
      </c>
      <c r="E1807" s="1077" t="s">
        <v>5631</v>
      </c>
      <c r="F1807" s="1079">
        <v>4</v>
      </c>
      <c r="G1807" s="1079"/>
      <c r="H1807" s="1079"/>
      <c r="I1807" s="1079"/>
      <c r="J1807" s="1079"/>
      <c r="K1807" s="1079"/>
      <c r="L1807" s="1079"/>
      <c r="M1807" s="1079"/>
      <c r="N1807" s="1079"/>
      <c r="O1807" s="1079"/>
      <c r="P1807" s="1079"/>
      <c r="Q1807" s="1079"/>
      <c r="R1807" s="1079"/>
      <c r="S1807" s="1079"/>
      <c r="T1807" s="1079"/>
      <c r="U1807" s="1079"/>
      <c r="V1807" s="1079"/>
      <c r="W1807" s="1186">
        <v>20.5</v>
      </c>
      <c r="X1807" s="1186">
        <v>4.8</v>
      </c>
      <c r="Y1807" s="1186">
        <v>20.5</v>
      </c>
      <c r="Z1807" s="1186">
        <v>3.8</v>
      </c>
      <c r="AA1807" s="1186"/>
      <c r="AB1807" s="1186"/>
      <c r="AC1807" s="1186"/>
      <c r="AD1807" s="1187"/>
    </row>
    <row r="1808" spans="1:30" x14ac:dyDescent="0.2">
      <c r="A1808">
        <f t="shared" si="62"/>
        <v>48</v>
      </c>
      <c r="B1808">
        <v>1799</v>
      </c>
      <c r="C1808" s="1078">
        <v>3</v>
      </c>
      <c r="D1808" s="1077" t="s">
        <v>4676</v>
      </c>
      <c r="E1808" s="1077" t="s">
        <v>4680</v>
      </c>
      <c r="F1808" s="1079">
        <v>1</v>
      </c>
      <c r="G1808" s="1079"/>
      <c r="H1808" s="1079"/>
      <c r="I1808" s="1079"/>
      <c r="J1808" s="1079"/>
      <c r="K1808" s="1079"/>
      <c r="L1808" s="1079"/>
      <c r="M1808" s="1079"/>
      <c r="N1808" s="1079"/>
      <c r="O1808" s="1079"/>
      <c r="P1808" s="1079"/>
      <c r="Q1808" s="1079"/>
      <c r="R1808" s="1079"/>
      <c r="S1808" s="1079"/>
      <c r="T1808" s="1079"/>
      <c r="U1808" s="1079"/>
      <c r="V1808" s="1079"/>
      <c r="W1808" s="1186">
        <v>17.5</v>
      </c>
      <c r="X1808" s="1186">
        <v>4.7</v>
      </c>
      <c r="Y1808" s="1186">
        <v>16.5</v>
      </c>
      <c r="Z1808" s="1186">
        <v>2.9</v>
      </c>
      <c r="AA1808" s="1186"/>
      <c r="AB1808" s="1186"/>
      <c r="AC1808" s="1186"/>
      <c r="AD1808" s="1187"/>
    </row>
    <row r="1809" spans="1:30" x14ac:dyDescent="0.2">
      <c r="A1809">
        <f t="shared" si="62"/>
        <v>48</v>
      </c>
      <c r="B1809">
        <v>1800</v>
      </c>
      <c r="C1809" s="1078">
        <v>3</v>
      </c>
      <c r="D1809" s="1077" t="s">
        <v>4676</v>
      </c>
      <c r="E1809" s="1077" t="s">
        <v>4681</v>
      </c>
      <c r="F1809" s="1079">
        <v>2</v>
      </c>
      <c r="G1809" s="1079"/>
      <c r="H1809" s="1079"/>
      <c r="I1809" s="1079"/>
      <c r="J1809" s="1079"/>
      <c r="K1809" s="1079"/>
      <c r="L1809" s="1079"/>
      <c r="M1809" s="1079"/>
      <c r="N1809" s="1079"/>
      <c r="O1809" s="1079"/>
      <c r="P1809" s="1079"/>
      <c r="Q1809" s="1079"/>
      <c r="R1809" s="1079"/>
      <c r="S1809" s="1079"/>
      <c r="T1809" s="1079"/>
      <c r="U1809" s="1079"/>
      <c r="V1809" s="1079"/>
      <c r="W1809" s="1186">
        <v>26.7</v>
      </c>
      <c r="X1809" s="1186">
        <v>4.9000000000000004</v>
      </c>
      <c r="Y1809" s="1186">
        <v>24.7</v>
      </c>
      <c r="Z1809" s="1186">
        <v>3.1</v>
      </c>
      <c r="AA1809" s="1186"/>
      <c r="AB1809" s="1186"/>
      <c r="AC1809" s="1186"/>
      <c r="AD1809" s="1187"/>
    </row>
    <row r="1810" spans="1:30" x14ac:dyDescent="0.2">
      <c r="A1810">
        <f t="shared" si="62"/>
        <v>48</v>
      </c>
      <c r="B1810">
        <v>1801</v>
      </c>
      <c r="C1810" s="1078">
        <v>3</v>
      </c>
      <c r="D1810" s="1077" t="s">
        <v>4676</v>
      </c>
      <c r="E1810" s="1077" t="s">
        <v>4682</v>
      </c>
      <c r="F1810" s="1079">
        <v>2</v>
      </c>
      <c r="G1810" s="1079"/>
      <c r="H1810" s="1079"/>
      <c r="I1810" s="1079"/>
      <c r="J1810" s="1079"/>
      <c r="K1810" s="1079"/>
      <c r="L1810" s="1079"/>
      <c r="M1810" s="1079"/>
      <c r="N1810" s="1079"/>
      <c r="O1810" s="1079"/>
      <c r="P1810" s="1079"/>
      <c r="Q1810" s="1079"/>
      <c r="R1810" s="1079"/>
      <c r="S1810" s="1079"/>
      <c r="T1810" s="1079"/>
      <c r="U1810" s="1079"/>
      <c r="V1810" s="1079"/>
      <c r="W1810" s="1186">
        <v>34.799999999999997</v>
      </c>
      <c r="X1810" s="1186">
        <v>4.8</v>
      </c>
      <c r="Y1810" s="1186">
        <v>32.1</v>
      </c>
      <c r="Z1810" s="1186">
        <v>3</v>
      </c>
      <c r="AA1810" s="1186"/>
      <c r="AB1810" s="1186"/>
      <c r="AC1810" s="1186"/>
      <c r="AD1810" s="1187"/>
    </row>
    <row r="1811" spans="1:30" x14ac:dyDescent="0.2">
      <c r="A1811">
        <f t="shared" si="62"/>
        <v>48</v>
      </c>
      <c r="B1811">
        <v>1802</v>
      </c>
      <c r="C1811" s="1078">
        <v>3</v>
      </c>
      <c r="D1811" s="1077" t="s">
        <v>4676</v>
      </c>
      <c r="E1811" s="1077" t="s">
        <v>4683</v>
      </c>
      <c r="F1811" s="1079">
        <v>2</v>
      </c>
      <c r="G1811" s="1079"/>
      <c r="H1811" s="1079"/>
      <c r="I1811" s="1079"/>
      <c r="J1811" s="1079"/>
      <c r="K1811" s="1079"/>
      <c r="L1811" s="1079"/>
      <c r="M1811" s="1079"/>
      <c r="N1811" s="1079"/>
      <c r="O1811" s="1079"/>
      <c r="P1811" s="1079"/>
      <c r="Q1811" s="1079"/>
      <c r="R1811" s="1079"/>
      <c r="S1811" s="1079"/>
      <c r="T1811" s="1079"/>
      <c r="U1811" s="1079"/>
      <c r="V1811" s="1079"/>
      <c r="W1811" s="1186">
        <v>52</v>
      </c>
      <c r="X1811" s="1186">
        <v>5</v>
      </c>
      <c r="Y1811" s="1186">
        <v>44.1</v>
      </c>
      <c r="Z1811" s="1186">
        <v>2.8</v>
      </c>
      <c r="AA1811" s="1186"/>
      <c r="AB1811" s="1186"/>
      <c r="AC1811" s="1186"/>
      <c r="AD1811" s="1187"/>
    </row>
    <row r="1812" spans="1:30" x14ac:dyDescent="0.2">
      <c r="A1812">
        <f t="shared" si="62"/>
        <v>48</v>
      </c>
      <c r="B1812">
        <v>1803</v>
      </c>
      <c r="C1812" s="1078">
        <v>3</v>
      </c>
      <c r="D1812" s="1077" t="s">
        <v>4676</v>
      </c>
      <c r="E1812" s="1077" t="s">
        <v>4684</v>
      </c>
      <c r="F1812" s="1079">
        <v>2</v>
      </c>
      <c r="G1812" s="1079"/>
      <c r="H1812" s="1079"/>
      <c r="I1812" s="1079"/>
      <c r="J1812" s="1079"/>
      <c r="K1812" s="1079"/>
      <c r="L1812" s="1079"/>
      <c r="M1812" s="1079"/>
      <c r="N1812" s="1079"/>
      <c r="O1812" s="1079"/>
      <c r="P1812" s="1079"/>
      <c r="Q1812" s="1079"/>
      <c r="R1812" s="1079"/>
      <c r="S1812" s="1079"/>
      <c r="T1812" s="1079"/>
      <c r="U1812" s="1079"/>
      <c r="V1812" s="1079"/>
      <c r="W1812" s="1186">
        <v>73.5</v>
      </c>
      <c r="X1812" s="1186">
        <v>4.8</v>
      </c>
      <c r="Y1812" s="1186">
        <v>67.3</v>
      </c>
      <c r="Z1812" s="1186">
        <v>3</v>
      </c>
      <c r="AA1812" s="1186"/>
      <c r="AB1812" s="1186"/>
      <c r="AC1812" s="1186"/>
      <c r="AD1812" s="1187"/>
    </row>
    <row r="1813" spans="1:30" x14ac:dyDescent="0.2">
      <c r="A1813">
        <f t="shared" si="62"/>
        <v>48</v>
      </c>
      <c r="B1813">
        <v>1804</v>
      </c>
      <c r="C1813" s="1078">
        <v>3</v>
      </c>
      <c r="D1813" s="1077" t="s">
        <v>4676</v>
      </c>
      <c r="E1813" s="1077" t="s">
        <v>4685</v>
      </c>
      <c r="F1813" s="1079">
        <v>2</v>
      </c>
      <c r="G1813" s="1079"/>
      <c r="H1813" s="1079"/>
      <c r="I1813" s="1079"/>
      <c r="J1813" s="1079"/>
      <c r="K1813" s="1079"/>
      <c r="L1813" s="1079"/>
      <c r="M1813" s="1079"/>
      <c r="N1813" s="1079"/>
      <c r="O1813" s="1079"/>
      <c r="P1813" s="1079"/>
      <c r="Q1813" s="1079"/>
      <c r="R1813" s="1079"/>
      <c r="S1813" s="1079"/>
      <c r="T1813" s="1079"/>
      <c r="U1813" s="1079"/>
      <c r="V1813" s="1079"/>
      <c r="W1813" s="1186">
        <v>86</v>
      </c>
      <c r="X1813" s="1186">
        <v>4.7</v>
      </c>
      <c r="Y1813" s="1186">
        <v>78.900000000000006</v>
      </c>
      <c r="Z1813" s="1186">
        <v>3</v>
      </c>
      <c r="AA1813" s="1186"/>
      <c r="AB1813" s="1186"/>
      <c r="AC1813" s="1186"/>
      <c r="AD1813" s="1187"/>
    </row>
    <row r="1814" spans="1:30" x14ac:dyDescent="0.2">
      <c r="A1814">
        <f t="shared" si="62"/>
        <v>48</v>
      </c>
      <c r="B1814">
        <v>1805</v>
      </c>
      <c r="C1814" s="1078">
        <v>3</v>
      </c>
      <c r="D1814" s="1077" t="s">
        <v>4676</v>
      </c>
      <c r="E1814" s="1077" t="s">
        <v>4686</v>
      </c>
      <c r="F1814" s="1079">
        <v>2</v>
      </c>
      <c r="G1814" s="1079"/>
      <c r="H1814" s="1079"/>
      <c r="I1814" s="1079"/>
      <c r="J1814" s="1079"/>
      <c r="K1814" s="1079"/>
      <c r="L1814" s="1079"/>
      <c r="M1814" s="1079"/>
      <c r="N1814" s="1079"/>
      <c r="O1814" s="1079"/>
      <c r="P1814" s="1079"/>
      <c r="Q1814" s="1079"/>
      <c r="R1814" s="1079"/>
      <c r="S1814" s="1079"/>
      <c r="T1814" s="1079"/>
      <c r="U1814" s="1079"/>
      <c r="V1814" s="1079"/>
      <c r="W1814" s="1186">
        <v>88.6</v>
      </c>
      <c r="X1814" s="1186">
        <v>4.3</v>
      </c>
      <c r="Y1814" s="1186">
        <v>84.1</v>
      </c>
      <c r="Z1814" s="1186">
        <v>2.4</v>
      </c>
      <c r="AA1814" s="1186"/>
      <c r="AB1814" s="1186"/>
      <c r="AC1814" s="1186"/>
      <c r="AD1814" s="1187"/>
    </row>
    <row r="1815" spans="1:30" x14ac:dyDescent="0.2">
      <c r="A1815">
        <f t="shared" si="62"/>
        <v>48</v>
      </c>
      <c r="B1815">
        <v>1806</v>
      </c>
      <c r="C1815" s="1078">
        <v>3</v>
      </c>
      <c r="D1815" s="1077" t="s">
        <v>4676</v>
      </c>
      <c r="E1815" s="1077" t="s">
        <v>4687</v>
      </c>
      <c r="F1815" s="1079">
        <v>2</v>
      </c>
      <c r="G1815" s="1079"/>
      <c r="H1815" s="1079"/>
      <c r="I1815" s="1079"/>
      <c r="J1815" s="1079"/>
      <c r="K1815" s="1079"/>
      <c r="L1815" s="1079"/>
      <c r="M1815" s="1079"/>
      <c r="N1815" s="1079"/>
      <c r="O1815" s="1079"/>
      <c r="P1815" s="1079"/>
      <c r="Q1815" s="1079"/>
      <c r="R1815" s="1079"/>
      <c r="S1815" s="1079"/>
      <c r="T1815" s="1079"/>
      <c r="U1815" s="1079"/>
      <c r="V1815" s="1079"/>
      <c r="W1815" s="1186">
        <v>138.1</v>
      </c>
      <c r="X1815" s="1186">
        <v>4.5999999999999996</v>
      </c>
      <c r="Y1815" s="1186">
        <v>129.6</v>
      </c>
      <c r="Z1815" s="1186">
        <v>3.1</v>
      </c>
      <c r="AA1815" s="1186"/>
      <c r="AB1815" s="1186"/>
      <c r="AC1815" s="1186"/>
      <c r="AD1815" s="1187"/>
    </row>
    <row r="1816" spans="1:30" x14ac:dyDescent="0.2">
      <c r="A1816">
        <f t="shared" si="62"/>
        <v>48</v>
      </c>
      <c r="B1816">
        <v>1807</v>
      </c>
      <c r="C1816" s="1078">
        <v>4</v>
      </c>
      <c r="D1816" s="1077" t="s">
        <v>4676</v>
      </c>
      <c r="E1816" s="1077" t="s">
        <v>4688</v>
      </c>
      <c r="F1816" s="1079">
        <v>1</v>
      </c>
      <c r="G1816" s="1079"/>
      <c r="H1816" s="1079"/>
      <c r="I1816" s="1079"/>
      <c r="J1816" s="1079"/>
      <c r="K1816" s="1079"/>
      <c r="L1816" s="1079"/>
      <c r="M1816" s="1079"/>
      <c r="N1816" s="1079"/>
      <c r="O1816" s="1079"/>
      <c r="P1816" s="1079"/>
      <c r="Q1816" s="1079"/>
      <c r="R1816" s="1079"/>
      <c r="S1816" s="1079"/>
      <c r="T1816" s="1079"/>
      <c r="U1816" s="1079"/>
      <c r="V1816" s="1079"/>
      <c r="W1816" s="1186"/>
      <c r="X1816" s="1186"/>
      <c r="Y1816" s="1186"/>
      <c r="Z1816" s="1186"/>
      <c r="AA1816" s="1186">
        <v>9.6</v>
      </c>
      <c r="AB1816" s="1186">
        <v>5.9</v>
      </c>
      <c r="AC1816" s="1186">
        <v>8.4</v>
      </c>
      <c r="AD1816" s="1187">
        <v>3.2</v>
      </c>
    </row>
    <row r="1817" spans="1:30" x14ac:dyDescent="0.2">
      <c r="A1817">
        <f t="shared" si="62"/>
        <v>48</v>
      </c>
      <c r="B1817">
        <v>1808</v>
      </c>
      <c r="C1817" s="1078">
        <v>4</v>
      </c>
      <c r="D1817" s="1077" t="s">
        <v>4676</v>
      </c>
      <c r="E1817" s="1077" t="s">
        <v>4689</v>
      </c>
      <c r="F1817" s="1079">
        <v>1</v>
      </c>
      <c r="G1817" s="1079"/>
      <c r="H1817" s="1079"/>
      <c r="I1817" s="1079"/>
      <c r="J1817" s="1079"/>
      <c r="K1817" s="1079"/>
      <c r="L1817" s="1079"/>
      <c r="M1817" s="1079"/>
      <c r="N1817" s="1079"/>
      <c r="O1817" s="1079"/>
      <c r="P1817" s="1079"/>
      <c r="Q1817" s="1079"/>
      <c r="R1817" s="1079"/>
      <c r="S1817" s="1079"/>
      <c r="T1817" s="1079"/>
      <c r="U1817" s="1079"/>
      <c r="V1817" s="1079"/>
      <c r="W1817" s="1186"/>
      <c r="X1817" s="1186"/>
      <c r="Y1817" s="1186"/>
      <c r="Z1817" s="1186"/>
      <c r="AA1817" s="1186">
        <v>13.3</v>
      </c>
      <c r="AB1817" s="1186">
        <v>6.1</v>
      </c>
      <c r="AC1817" s="1186">
        <v>11.5</v>
      </c>
      <c r="AD1817" s="1187">
        <v>3.3</v>
      </c>
    </row>
    <row r="1818" spans="1:30" x14ac:dyDescent="0.2">
      <c r="A1818">
        <f t="shared" si="62"/>
        <v>48</v>
      </c>
      <c r="B1818">
        <v>1809</v>
      </c>
      <c r="C1818" s="1078">
        <v>4</v>
      </c>
      <c r="D1818" s="1077" t="s">
        <v>4676</v>
      </c>
      <c r="E1818" s="1077" t="s">
        <v>4690</v>
      </c>
      <c r="F1818" s="1079">
        <v>1</v>
      </c>
      <c r="G1818" s="1079"/>
      <c r="H1818" s="1079"/>
      <c r="I1818" s="1079"/>
      <c r="J1818" s="1079"/>
      <c r="K1818" s="1079"/>
      <c r="L1818" s="1079"/>
      <c r="M1818" s="1079"/>
      <c r="N1818" s="1079"/>
      <c r="O1818" s="1079"/>
      <c r="P1818" s="1079"/>
      <c r="Q1818" s="1079"/>
      <c r="R1818" s="1079"/>
      <c r="S1818" s="1079"/>
      <c r="T1818" s="1079"/>
      <c r="U1818" s="1079"/>
      <c r="V1818" s="1079"/>
      <c r="W1818" s="1186"/>
      <c r="X1818" s="1186"/>
      <c r="Y1818" s="1186"/>
      <c r="Z1818" s="1186"/>
      <c r="AA1818" s="1186">
        <v>17.100000000000001</v>
      </c>
      <c r="AB1818" s="1186">
        <v>5.8</v>
      </c>
      <c r="AC1818" s="1186">
        <v>15.1</v>
      </c>
      <c r="AD1818" s="1187">
        <v>3.6</v>
      </c>
    </row>
    <row r="1819" spans="1:30" x14ac:dyDescent="0.2">
      <c r="A1819">
        <f t="shared" si="62"/>
        <v>48</v>
      </c>
      <c r="B1819">
        <v>1810</v>
      </c>
      <c r="C1819" s="1078">
        <v>4</v>
      </c>
      <c r="D1819" s="1077" t="s">
        <v>4676</v>
      </c>
      <c r="E1819" s="1077" t="s">
        <v>4691</v>
      </c>
      <c r="F1819" s="1079">
        <v>1</v>
      </c>
      <c r="G1819" s="1079"/>
      <c r="H1819" s="1079"/>
      <c r="I1819" s="1079"/>
      <c r="J1819" s="1079"/>
      <c r="K1819" s="1079"/>
      <c r="L1819" s="1079"/>
      <c r="M1819" s="1079"/>
      <c r="N1819" s="1079"/>
      <c r="O1819" s="1079"/>
      <c r="P1819" s="1079"/>
      <c r="Q1819" s="1079"/>
      <c r="R1819" s="1079"/>
      <c r="S1819" s="1079"/>
      <c r="T1819" s="1079"/>
      <c r="U1819" s="1079"/>
      <c r="V1819" s="1079"/>
      <c r="W1819" s="1186"/>
      <c r="X1819" s="1186"/>
      <c r="Y1819" s="1186"/>
      <c r="Z1819" s="1186"/>
      <c r="AA1819" s="1186">
        <v>22.3</v>
      </c>
      <c r="AB1819" s="1186">
        <v>5.7</v>
      </c>
      <c r="AC1819" s="1186">
        <v>20</v>
      </c>
      <c r="AD1819" s="1187">
        <v>3.6</v>
      </c>
    </row>
    <row r="1820" spans="1:30" x14ac:dyDescent="0.2">
      <c r="A1820">
        <f t="shared" si="62"/>
        <v>48</v>
      </c>
      <c r="B1820">
        <v>1811</v>
      </c>
      <c r="C1820" s="1078">
        <v>4</v>
      </c>
      <c r="D1820" s="1077" t="s">
        <v>4676</v>
      </c>
      <c r="E1820" s="1077" t="s">
        <v>4692</v>
      </c>
      <c r="F1820" s="1079">
        <v>2</v>
      </c>
      <c r="G1820" s="1079"/>
      <c r="H1820" s="1079"/>
      <c r="I1820" s="1079"/>
      <c r="J1820" s="1079"/>
      <c r="K1820" s="1079"/>
      <c r="L1820" s="1079"/>
      <c r="M1820" s="1079"/>
      <c r="N1820" s="1079"/>
      <c r="O1820" s="1079"/>
      <c r="P1820" s="1079"/>
      <c r="Q1820" s="1079"/>
      <c r="R1820" s="1079"/>
      <c r="S1820" s="1079"/>
      <c r="T1820" s="1079"/>
      <c r="U1820" s="1079"/>
      <c r="V1820" s="1079"/>
      <c r="W1820" s="1186"/>
      <c r="X1820" s="1186"/>
      <c r="Y1820" s="1186"/>
      <c r="Z1820" s="1186"/>
      <c r="AA1820" s="1186">
        <v>35.6</v>
      </c>
      <c r="AB1820" s="1186">
        <v>6.2</v>
      </c>
      <c r="AC1820" s="1186">
        <v>32.200000000000003</v>
      </c>
      <c r="AD1820" s="1187">
        <v>3.8</v>
      </c>
    </row>
    <row r="1821" spans="1:30" x14ac:dyDescent="0.2">
      <c r="A1821">
        <f t="shared" si="62"/>
        <v>48</v>
      </c>
      <c r="B1821">
        <v>1812</v>
      </c>
      <c r="C1821" s="1078">
        <v>4</v>
      </c>
      <c r="D1821" s="1077" t="s">
        <v>4676</v>
      </c>
      <c r="E1821" s="1077" t="s">
        <v>4693</v>
      </c>
      <c r="F1821" s="1079">
        <v>2</v>
      </c>
      <c r="G1821" s="1079"/>
      <c r="H1821" s="1079"/>
      <c r="I1821" s="1079"/>
      <c r="J1821" s="1079"/>
      <c r="K1821" s="1079"/>
      <c r="L1821" s="1079"/>
      <c r="M1821" s="1079"/>
      <c r="N1821" s="1079"/>
      <c r="O1821" s="1079"/>
      <c r="P1821" s="1079"/>
      <c r="Q1821" s="1079"/>
      <c r="R1821" s="1079"/>
      <c r="S1821" s="1079"/>
      <c r="T1821" s="1079"/>
      <c r="U1821" s="1079"/>
      <c r="V1821" s="1079"/>
      <c r="W1821" s="1186"/>
      <c r="X1821" s="1186"/>
      <c r="Y1821" s="1186"/>
      <c r="Z1821" s="1186"/>
      <c r="AA1821" s="1186">
        <v>46.2</v>
      </c>
      <c r="AB1821" s="1186">
        <v>5.8</v>
      </c>
      <c r="AC1821" s="1186">
        <v>42.5</v>
      </c>
      <c r="AD1821" s="1187">
        <v>3.7</v>
      </c>
    </row>
    <row r="1822" spans="1:30" x14ac:dyDescent="0.2">
      <c r="A1822">
        <f t="shared" si="62"/>
        <v>48</v>
      </c>
      <c r="B1822">
        <v>1813</v>
      </c>
      <c r="C1822" s="1078">
        <v>4</v>
      </c>
      <c r="D1822" s="1077" t="s">
        <v>4676</v>
      </c>
      <c r="E1822" s="1077" t="s">
        <v>4694</v>
      </c>
      <c r="F1822" s="1079">
        <v>2</v>
      </c>
      <c r="G1822" s="1079"/>
      <c r="H1822" s="1079"/>
      <c r="I1822" s="1079"/>
      <c r="J1822" s="1079"/>
      <c r="K1822" s="1079"/>
      <c r="L1822" s="1079"/>
      <c r="M1822" s="1079"/>
      <c r="N1822" s="1079"/>
      <c r="O1822" s="1079"/>
      <c r="P1822" s="1079"/>
      <c r="Q1822" s="1079"/>
      <c r="R1822" s="1079"/>
      <c r="S1822" s="1079"/>
      <c r="T1822" s="1079"/>
      <c r="U1822" s="1079"/>
      <c r="V1822" s="1079"/>
      <c r="W1822" s="1186"/>
      <c r="X1822" s="1186"/>
      <c r="Y1822" s="1186"/>
      <c r="Z1822" s="1186"/>
      <c r="AA1822" s="1186">
        <v>68.900000000000006</v>
      </c>
      <c r="AB1822" s="1186">
        <v>6.2</v>
      </c>
      <c r="AC1822" s="1186">
        <v>59.9</v>
      </c>
      <c r="AD1822" s="1187">
        <v>3.7</v>
      </c>
    </row>
    <row r="1823" spans="1:30" x14ac:dyDescent="0.2">
      <c r="A1823">
        <f t="shared" si="62"/>
        <v>48</v>
      </c>
      <c r="B1823">
        <v>1814</v>
      </c>
      <c r="C1823" s="1078">
        <v>4</v>
      </c>
      <c r="D1823" s="1077" t="s">
        <v>4676</v>
      </c>
      <c r="E1823" s="1077" t="s">
        <v>4695</v>
      </c>
      <c r="F1823" s="1079">
        <v>2</v>
      </c>
      <c r="G1823" s="1079"/>
      <c r="H1823" s="1079"/>
      <c r="I1823" s="1079"/>
      <c r="J1823" s="1079"/>
      <c r="K1823" s="1079"/>
      <c r="L1823" s="1079"/>
      <c r="M1823" s="1079"/>
      <c r="N1823" s="1079"/>
      <c r="O1823" s="1079"/>
      <c r="P1823" s="1079"/>
      <c r="Q1823" s="1079"/>
      <c r="R1823" s="1079"/>
      <c r="S1823" s="1079"/>
      <c r="T1823" s="1079"/>
      <c r="U1823" s="1079"/>
      <c r="V1823" s="1079"/>
      <c r="W1823" s="1186"/>
      <c r="X1823" s="1186"/>
      <c r="Y1823" s="1186"/>
      <c r="Z1823" s="1186"/>
      <c r="AA1823" s="1186">
        <v>98.9</v>
      </c>
      <c r="AB1823" s="1186">
        <v>5.9</v>
      </c>
      <c r="AC1823" s="1186">
        <v>89.9</v>
      </c>
      <c r="AD1823" s="1187">
        <v>3.7</v>
      </c>
    </row>
    <row r="1824" spans="1:30" x14ac:dyDescent="0.2">
      <c r="A1824">
        <f t="shared" si="62"/>
        <v>49</v>
      </c>
      <c r="B1824">
        <v>1815</v>
      </c>
      <c r="C1824" s="1078">
        <v>2</v>
      </c>
      <c r="D1824" s="1077" t="s">
        <v>3598</v>
      </c>
      <c r="E1824" s="1077" t="s">
        <v>4431</v>
      </c>
      <c r="F1824" s="1079">
        <v>1</v>
      </c>
      <c r="G1824" s="1079"/>
      <c r="H1824" s="1079"/>
      <c r="I1824" s="1079">
        <v>7.5</v>
      </c>
      <c r="J1824" s="1079">
        <v>3.6</v>
      </c>
      <c r="K1824" s="1079">
        <v>9.1999999999999993</v>
      </c>
      <c r="L1824" s="1079">
        <v>4.3</v>
      </c>
      <c r="M1824" s="1079">
        <v>10.3</v>
      </c>
      <c r="N1824" s="1079">
        <v>4.8</v>
      </c>
      <c r="O1824" s="1079"/>
      <c r="P1824" s="1079"/>
      <c r="Q1824" s="1079">
        <v>7.8</v>
      </c>
      <c r="R1824" s="1079">
        <v>2.6</v>
      </c>
      <c r="S1824" s="1079">
        <v>10.5</v>
      </c>
      <c r="T1824" s="1079">
        <v>3.3</v>
      </c>
      <c r="U1824" s="1079"/>
      <c r="V1824" s="1079"/>
      <c r="W1824" s="1079"/>
      <c r="X1824" s="1079"/>
      <c r="Y1824" s="1079"/>
      <c r="Z1824" s="1079"/>
      <c r="AA1824" s="1079"/>
      <c r="AB1824" s="1079"/>
      <c r="AC1824" s="1079"/>
      <c r="AD1824" s="1080"/>
    </row>
    <row r="1825" spans="1:30" x14ac:dyDescent="0.2">
      <c r="A1825">
        <f t="shared" si="62"/>
        <v>49</v>
      </c>
      <c r="B1825">
        <v>1816</v>
      </c>
      <c r="C1825" s="1078">
        <v>2</v>
      </c>
      <c r="D1825" s="1077" t="s">
        <v>3598</v>
      </c>
      <c r="E1825" s="1077" t="s">
        <v>4432</v>
      </c>
      <c r="F1825" s="1079">
        <v>1</v>
      </c>
      <c r="G1825" s="1079">
        <v>9</v>
      </c>
      <c r="H1825" s="1079">
        <v>3</v>
      </c>
      <c r="I1825" s="1079">
        <v>10.9</v>
      </c>
      <c r="J1825" s="1079">
        <v>3.6</v>
      </c>
      <c r="K1825" s="1079">
        <v>14</v>
      </c>
      <c r="L1825" s="1079">
        <v>4.4000000000000004</v>
      </c>
      <c r="M1825" s="1079">
        <v>16</v>
      </c>
      <c r="N1825" s="1079">
        <v>5</v>
      </c>
      <c r="O1825" s="1079"/>
      <c r="P1825" s="1079"/>
      <c r="Q1825" s="1079">
        <v>11.1</v>
      </c>
      <c r="R1825" s="1079">
        <v>2.7</v>
      </c>
      <c r="S1825" s="1079">
        <v>11.4</v>
      </c>
      <c r="T1825" s="1079">
        <v>2.8</v>
      </c>
      <c r="U1825" s="1079"/>
      <c r="V1825" s="1079"/>
      <c r="W1825" s="1079"/>
      <c r="X1825" s="1079"/>
      <c r="Y1825" s="1079"/>
      <c r="Z1825" s="1079"/>
      <c r="AA1825" s="1079"/>
      <c r="AB1825" s="1079"/>
      <c r="AC1825" s="1079"/>
      <c r="AD1825" s="1080"/>
    </row>
    <row r="1826" spans="1:30" x14ac:dyDescent="0.2">
      <c r="A1826">
        <f t="shared" si="62"/>
        <v>49</v>
      </c>
      <c r="B1826">
        <v>1817</v>
      </c>
      <c r="C1826" s="1078">
        <v>2</v>
      </c>
      <c r="D1826" s="1077" t="s">
        <v>3598</v>
      </c>
      <c r="E1826" s="1077" t="s">
        <v>4433</v>
      </c>
      <c r="F1826" s="1079">
        <v>1</v>
      </c>
      <c r="G1826" s="1079"/>
      <c r="H1826" s="1079"/>
      <c r="I1826" s="1079">
        <v>15</v>
      </c>
      <c r="J1826" s="1079">
        <v>3.5</v>
      </c>
      <c r="K1826" s="1079">
        <v>18.5</v>
      </c>
      <c r="L1826" s="1079">
        <v>4.3</v>
      </c>
      <c r="M1826" s="1079">
        <v>20.7</v>
      </c>
      <c r="N1826" s="1079">
        <v>4.8</v>
      </c>
      <c r="O1826" s="1079"/>
      <c r="P1826" s="1079"/>
      <c r="Q1826" s="1079">
        <v>15.6</v>
      </c>
      <c r="R1826" s="1079">
        <v>2.6</v>
      </c>
      <c r="S1826" s="1079">
        <v>21</v>
      </c>
      <c r="T1826" s="1079">
        <v>3.3</v>
      </c>
      <c r="U1826" s="1079"/>
      <c r="V1826" s="1079"/>
      <c r="W1826" s="1079"/>
      <c r="X1826" s="1079"/>
      <c r="Y1826" s="1079"/>
      <c r="Z1826" s="1079"/>
      <c r="AA1826" s="1079"/>
      <c r="AB1826" s="1079"/>
      <c r="AC1826" s="1079"/>
      <c r="AD1826" s="1080"/>
    </row>
    <row r="1827" spans="1:30" x14ac:dyDescent="0.2">
      <c r="A1827">
        <f t="shared" si="62"/>
        <v>49</v>
      </c>
      <c r="B1827">
        <v>1818</v>
      </c>
      <c r="C1827" s="1078">
        <v>3</v>
      </c>
      <c r="D1827" s="1077" t="s">
        <v>3598</v>
      </c>
      <c r="E1827" s="1077" t="s">
        <v>4434</v>
      </c>
      <c r="F1827" s="1079">
        <v>1</v>
      </c>
      <c r="G1827" s="1079"/>
      <c r="H1827" s="1079"/>
      <c r="I1827" s="1079"/>
      <c r="J1827" s="1079"/>
      <c r="K1827" s="1079"/>
      <c r="L1827" s="1079"/>
      <c r="M1827" s="1079"/>
      <c r="N1827" s="1079"/>
      <c r="O1827" s="1079"/>
      <c r="P1827" s="1079"/>
      <c r="Q1827" s="1079"/>
      <c r="R1827" s="1079"/>
      <c r="S1827" s="1079"/>
      <c r="T1827" s="1079"/>
      <c r="U1827" s="1079"/>
      <c r="V1827" s="1079"/>
      <c r="W1827" s="1079">
        <v>6.9</v>
      </c>
      <c r="X1827" s="1079">
        <v>4.5</v>
      </c>
      <c r="Y1827" s="1079">
        <v>6.3</v>
      </c>
      <c r="Z1827" s="1079">
        <v>2.4</v>
      </c>
      <c r="AA1827" s="1079">
        <v>9</v>
      </c>
      <c r="AB1827" s="1079">
        <v>6.2</v>
      </c>
      <c r="AC1827" s="1079">
        <v>7.9</v>
      </c>
      <c r="AD1827" s="1080">
        <v>3.2</v>
      </c>
    </row>
    <row r="1828" spans="1:30" x14ac:dyDescent="0.2">
      <c r="A1828">
        <f t="shared" si="62"/>
        <v>49</v>
      </c>
      <c r="B1828">
        <v>1819</v>
      </c>
      <c r="C1828" s="1078">
        <v>3</v>
      </c>
      <c r="D1828" s="1077" t="s">
        <v>3598</v>
      </c>
      <c r="E1828" s="1077" t="s">
        <v>4435</v>
      </c>
      <c r="F1828" s="1079">
        <v>1</v>
      </c>
      <c r="G1828" s="1079"/>
      <c r="H1828" s="1079"/>
      <c r="I1828" s="1079"/>
      <c r="J1828" s="1079"/>
      <c r="K1828" s="1079"/>
      <c r="L1828" s="1079"/>
      <c r="M1828" s="1079"/>
      <c r="N1828" s="1079"/>
      <c r="O1828" s="1079"/>
      <c r="P1828" s="1079"/>
      <c r="Q1828" s="1079"/>
      <c r="R1828" s="1079"/>
      <c r="S1828" s="1079"/>
      <c r="T1828" s="1079"/>
      <c r="U1828" s="1079"/>
      <c r="V1828" s="1079"/>
      <c r="W1828" s="1079">
        <v>6.9</v>
      </c>
      <c r="X1828" s="1079">
        <v>4.5</v>
      </c>
      <c r="Y1828" s="1079">
        <v>6.3</v>
      </c>
      <c r="Z1828" s="1079">
        <v>2.4</v>
      </c>
      <c r="AA1828" s="1079">
        <v>9</v>
      </c>
      <c r="AB1828" s="1079">
        <v>6.2</v>
      </c>
      <c r="AC1828" s="1079">
        <v>7.9</v>
      </c>
      <c r="AD1828" s="1080">
        <v>3.2</v>
      </c>
    </row>
    <row r="1829" spans="1:30" x14ac:dyDescent="0.2">
      <c r="A1829">
        <f t="shared" si="62"/>
        <v>50</v>
      </c>
      <c r="B1829">
        <v>1820</v>
      </c>
      <c r="C1829" s="1078">
        <v>2</v>
      </c>
      <c r="D1829" s="1077" t="s">
        <v>5692</v>
      </c>
      <c r="E1829" s="1077" t="s">
        <v>5693</v>
      </c>
      <c r="F1829" s="1079">
        <v>4</v>
      </c>
      <c r="G1829" s="1079">
        <v>7.47</v>
      </c>
      <c r="H1829" s="1079">
        <v>2.85</v>
      </c>
      <c r="I1829" s="1079">
        <v>8.34</v>
      </c>
      <c r="J1829" s="1079">
        <v>3.18</v>
      </c>
      <c r="K1829" s="1079">
        <v>8.7899999999999991</v>
      </c>
      <c r="L1829" s="1079">
        <v>4.1500000000000004</v>
      </c>
      <c r="M1829" s="1079">
        <v>9</v>
      </c>
      <c r="N1829" s="1079">
        <v>5.25</v>
      </c>
      <c r="O1829" s="1079">
        <v>9.01</v>
      </c>
      <c r="P1829" s="1079">
        <v>7.47</v>
      </c>
      <c r="Q1829" s="1079">
        <v>8.67</v>
      </c>
      <c r="R1829" s="1079">
        <v>2.46</v>
      </c>
      <c r="S1829" s="1079">
        <v>9.01</v>
      </c>
      <c r="T1829" s="1079">
        <v>3.54</v>
      </c>
      <c r="U1829" s="1079">
        <v>9</v>
      </c>
      <c r="V1829" s="1079">
        <v>4.72</v>
      </c>
      <c r="W1829" s="1079"/>
      <c r="X1829" s="1079"/>
      <c r="Y1829" s="1079"/>
      <c r="Z1829" s="1079"/>
      <c r="AA1829" s="1079"/>
      <c r="AB1829" s="1079"/>
      <c r="AC1829" s="1079"/>
      <c r="AD1829" s="1080"/>
    </row>
    <row r="1830" spans="1:30" x14ac:dyDescent="0.2">
      <c r="A1830">
        <f t="shared" si="62"/>
        <v>50</v>
      </c>
      <c r="B1830">
        <v>1821</v>
      </c>
      <c r="C1830" s="1078">
        <v>2</v>
      </c>
      <c r="D1830" s="1077" t="s">
        <v>5692</v>
      </c>
      <c r="E1830" s="1077" t="s">
        <v>5694</v>
      </c>
      <c r="F1830" s="1079">
        <v>4</v>
      </c>
      <c r="G1830" s="1079">
        <v>10.19</v>
      </c>
      <c r="H1830" s="1079">
        <v>2.94</v>
      </c>
      <c r="I1830" s="1079">
        <v>11</v>
      </c>
      <c r="J1830" s="1079">
        <v>3.15</v>
      </c>
      <c r="K1830" s="1079">
        <v>11.6</v>
      </c>
      <c r="L1830" s="1079">
        <v>4.17</v>
      </c>
      <c r="M1830" s="1079">
        <v>12.02</v>
      </c>
      <c r="N1830" s="1079">
        <v>5.47</v>
      </c>
      <c r="O1830" s="1079">
        <v>12</v>
      </c>
      <c r="P1830" s="1079">
        <v>7.58</v>
      </c>
      <c r="Q1830" s="1079">
        <v>11.41</v>
      </c>
      <c r="R1830" s="1079">
        <v>2.4</v>
      </c>
      <c r="S1830" s="1079">
        <v>12.01</v>
      </c>
      <c r="T1830" s="1079">
        <v>3.66</v>
      </c>
      <c r="U1830" s="1079">
        <v>12.01</v>
      </c>
      <c r="V1830" s="1079">
        <v>4.84</v>
      </c>
      <c r="W1830" s="1079"/>
      <c r="X1830" s="1079"/>
      <c r="Y1830" s="1079"/>
      <c r="Z1830" s="1079"/>
      <c r="AA1830" s="1079"/>
      <c r="AB1830" s="1079"/>
      <c r="AC1830" s="1079"/>
      <c r="AD1830" s="1080"/>
    </row>
    <row r="1831" spans="1:30" x14ac:dyDescent="0.2">
      <c r="A1831">
        <f t="shared" si="62"/>
        <v>50</v>
      </c>
      <c r="B1831">
        <v>1822</v>
      </c>
      <c r="C1831" s="1078">
        <v>2</v>
      </c>
      <c r="D1831" s="1077" t="s">
        <v>5692</v>
      </c>
      <c r="E1831" s="1077" t="s">
        <v>5695</v>
      </c>
      <c r="F1831" s="1079">
        <v>4</v>
      </c>
      <c r="G1831" s="1079">
        <v>14.35</v>
      </c>
      <c r="H1831" s="1079">
        <v>2.82</v>
      </c>
      <c r="I1831" s="1079">
        <v>16.149999999999999</v>
      </c>
      <c r="J1831" s="1079">
        <v>3.06</v>
      </c>
      <c r="K1831" s="1079">
        <v>17.579999999999998</v>
      </c>
      <c r="L1831" s="1079">
        <v>3.64</v>
      </c>
      <c r="M1831" s="1079">
        <v>18</v>
      </c>
      <c r="N1831" s="1079">
        <v>5.01</v>
      </c>
      <c r="O1831" s="1079">
        <v>18.04</v>
      </c>
      <c r="P1831" s="1079">
        <v>6.98</v>
      </c>
      <c r="Q1831" s="1079">
        <v>15.78</v>
      </c>
      <c r="R1831" s="1079">
        <v>2.29</v>
      </c>
      <c r="S1831" s="1079">
        <v>18.02</v>
      </c>
      <c r="T1831" s="1079">
        <v>3.46</v>
      </c>
      <c r="U1831" s="1079">
        <v>18.04</v>
      </c>
      <c r="V1831" s="1079">
        <v>4.5999999999999996</v>
      </c>
      <c r="W1831" s="1079"/>
      <c r="X1831" s="1079"/>
      <c r="Y1831" s="1079"/>
      <c r="Z1831" s="1079"/>
      <c r="AA1831" s="1079"/>
      <c r="AB1831" s="1079"/>
      <c r="AC1831" s="1079"/>
      <c r="AD1831" s="1080"/>
    </row>
    <row r="1832" spans="1:30" x14ac:dyDescent="0.2">
      <c r="A1832">
        <f t="shared" si="62"/>
        <v>50</v>
      </c>
      <c r="B1832">
        <v>1823</v>
      </c>
      <c r="C1832" s="1078">
        <v>2</v>
      </c>
      <c r="D1832" s="1077" t="s">
        <v>5692</v>
      </c>
      <c r="E1832" s="1077" t="s">
        <v>5696</v>
      </c>
      <c r="F1832" s="1079">
        <v>4</v>
      </c>
      <c r="G1832" s="1079">
        <v>26.24</v>
      </c>
      <c r="H1832" s="1079">
        <v>2.5099999999999998</v>
      </c>
      <c r="I1832" s="1079">
        <v>32.68</v>
      </c>
      <c r="J1832" s="1079">
        <v>2.79</v>
      </c>
      <c r="K1832" s="1079">
        <v>35.049999999999997</v>
      </c>
      <c r="L1832" s="1079">
        <v>3.49</v>
      </c>
      <c r="M1832" s="1079">
        <v>35.04</v>
      </c>
      <c r="N1832" s="1079">
        <v>4.76</v>
      </c>
      <c r="O1832" s="1079">
        <v>35.03</v>
      </c>
      <c r="P1832" s="1079">
        <v>6.88</v>
      </c>
      <c r="Q1832" s="1079">
        <v>32.64</v>
      </c>
      <c r="R1832" s="1079">
        <v>2.08</v>
      </c>
      <c r="S1832" s="1079">
        <v>35.79</v>
      </c>
      <c r="T1832" s="1079">
        <v>3.09</v>
      </c>
      <c r="U1832" s="1079">
        <v>35.020000000000003</v>
      </c>
      <c r="V1832" s="1079">
        <v>4.1399999999999997</v>
      </c>
      <c r="W1832" s="1079"/>
      <c r="X1832" s="1079"/>
      <c r="Y1832" s="1079"/>
      <c r="Z1832" s="1079"/>
      <c r="AA1832" s="1079"/>
      <c r="AB1832" s="1079"/>
      <c r="AC1832" s="1079"/>
      <c r="AD1832" s="1080"/>
    </row>
    <row r="1833" spans="1:30" x14ac:dyDescent="0.2">
      <c r="A1833">
        <f t="shared" si="62"/>
        <v>50</v>
      </c>
      <c r="B1833">
        <v>1824</v>
      </c>
      <c r="C1833" s="1078">
        <v>2</v>
      </c>
      <c r="D1833" s="1077" t="s">
        <v>5692</v>
      </c>
      <c r="E1833" s="1077" t="s">
        <v>5697</v>
      </c>
      <c r="F1833" s="1079">
        <v>4</v>
      </c>
      <c r="G1833" s="1079">
        <v>52.48</v>
      </c>
      <c r="H1833" s="1079">
        <v>2.5</v>
      </c>
      <c r="I1833" s="1079">
        <v>65.37</v>
      </c>
      <c r="J1833" s="1079">
        <v>2.78</v>
      </c>
      <c r="K1833" s="1079">
        <v>70.099999999999994</v>
      </c>
      <c r="L1833" s="1079">
        <v>3.48</v>
      </c>
      <c r="M1833" s="1079">
        <v>70.069999999999993</v>
      </c>
      <c r="N1833" s="1079">
        <v>4.75</v>
      </c>
      <c r="O1833" s="1079">
        <v>70.05</v>
      </c>
      <c r="P1833" s="1079">
        <v>6.87</v>
      </c>
      <c r="Q1833" s="1079">
        <v>65.28</v>
      </c>
      <c r="R1833" s="1079">
        <v>2.0699999999999998</v>
      </c>
      <c r="S1833" s="1079">
        <v>71.58</v>
      </c>
      <c r="T1833" s="1079">
        <v>3.08</v>
      </c>
      <c r="U1833" s="1079">
        <v>70.03</v>
      </c>
      <c r="V1833" s="1079">
        <v>4.13</v>
      </c>
      <c r="W1833" s="1079"/>
      <c r="X1833" s="1079"/>
      <c r="Y1833" s="1079"/>
      <c r="Z1833" s="1079"/>
      <c r="AA1833" s="1079"/>
      <c r="AB1833" s="1079"/>
      <c r="AC1833" s="1079"/>
      <c r="AD1833" s="1080"/>
    </row>
    <row r="1834" spans="1:30" x14ac:dyDescent="0.2">
      <c r="A1834">
        <f t="shared" si="62"/>
        <v>50</v>
      </c>
      <c r="B1834">
        <v>1825</v>
      </c>
      <c r="C1834" s="1078">
        <v>2</v>
      </c>
      <c r="D1834" s="1077" t="s">
        <v>5692</v>
      </c>
      <c r="E1834" s="1077" t="s">
        <v>5698</v>
      </c>
      <c r="F1834" s="1079">
        <v>4</v>
      </c>
      <c r="G1834" s="1079">
        <v>78.709999999999994</v>
      </c>
      <c r="H1834" s="1079">
        <v>2.4900000000000002</v>
      </c>
      <c r="I1834" s="1079">
        <v>98.05</v>
      </c>
      <c r="J1834" s="1079">
        <v>2.77</v>
      </c>
      <c r="K1834" s="1079">
        <v>105.15</v>
      </c>
      <c r="L1834" s="1079">
        <v>3.47</v>
      </c>
      <c r="M1834" s="1079">
        <v>105.11</v>
      </c>
      <c r="N1834" s="1079">
        <v>4.74</v>
      </c>
      <c r="O1834" s="1079">
        <v>105.08</v>
      </c>
      <c r="P1834" s="1079">
        <v>6.86</v>
      </c>
      <c r="Q1834" s="1079">
        <v>97.92</v>
      </c>
      <c r="R1834" s="1079">
        <v>2.06</v>
      </c>
      <c r="S1834" s="1079">
        <v>107.36</v>
      </c>
      <c r="T1834" s="1079">
        <v>3.07</v>
      </c>
      <c r="U1834" s="1079">
        <v>105.05</v>
      </c>
      <c r="V1834" s="1079">
        <v>4.12</v>
      </c>
      <c r="W1834" s="1079"/>
      <c r="X1834" s="1079"/>
      <c r="Y1834" s="1079"/>
      <c r="Z1834" s="1079"/>
      <c r="AA1834" s="1079"/>
      <c r="AB1834" s="1079"/>
      <c r="AC1834" s="1079"/>
      <c r="AD1834" s="1080"/>
    </row>
    <row r="1835" spans="1:30" x14ac:dyDescent="0.2">
      <c r="A1835">
        <f t="shared" si="62"/>
        <v>50</v>
      </c>
      <c r="B1835">
        <v>1826</v>
      </c>
      <c r="C1835" s="1078">
        <v>2</v>
      </c>
      <c r="D1835" s="1077" t="s">
        <v>5692</v>
      </c>
      <c r="E1835" s="1077" t="s">
        <v>5699</v>
      </c>
      <c r="F1835" s="1079">
        <v>4</v>
      </c>
      <c r="G1835" s="1079">
        <v>104.95</v>
      </c>
      <c r="H1835" s="1079">
        <v>2.4900000000000002</v>
      </c>
      <c r="I1835" s="1079">
        <v>130.74</v>
      </c>
      <c r="J1835" s="1079">
        <v>2.77</v>
      </c>
      <c r="K1835" s="1079">
        <v>140.19999999999999</v>
      </c>
      <c r="L1835" s="1079">
        <v>3.47</v>
      </c>
      <c r="M1835" s="1079">
        <v>140.15</v>
      </c>
      <c r="N1835" s="1079">
        <v>4.74</v>
      </c>
      <c r="O1835" s="1079">
        <v>140.1</v>
      </c>
      <c r="P1835" s="1079">
        <v>6.86</v>
      </c>
      <c r="Q1835" s="1079">
        <v>130.55000000000001</v>
      </c>
      <c r="R1835" s="1079">
        <v>2.06</v>
      </c>
      <c r="S1835" s="1079">
        <v>143.15</v>
      </c>
      <c r="T1835" s="1079">
        <v>3.07</v>
      </c>
      <c r="U1835" s="1079">
        <v>140.07</v>
      </c>
      <c r="V1835" s="1079">
        <v>4.12</v>
      </c>
      <c r="W1835" s="1079"/>
      <c r="X1835" s="1079"/>
      <c r="Y1835" s="1079"/>
      <c r="Z1835" s="1079"/>
      <c r="AA1835" s="1079"/>
      <c r="AB1835" s="1079"/>
      <c r="AC1835" s="1079"/>
      <c r="AD1835" s="1080"/>
    </row>
    <row r="1836" spans="1:30" x14ac:dyDescent="0.2">
      <c r="A1836">
        <f t="shared" si="62"/>
        <v>50</v>
      </c>
      <c r="B1836">
        <v>1827</v>
      </c>
      <c r="C1836" s="1078">
        <v>2</v>
      </c>
      <c r="D1836" s="1077" t="s">
        <v>5692</v>
      </c>
      <c r="E1836" s="1077" t="s">
        <v>5700</v>
      </c>
      <c r="F1836" s="1079">
        <v>4</v>
      </c>
      <c r="G1836" s="1079">
        <v>6.15</v>
      </c>
      <c r="H1836" s="1079">
        <v>2.65</v>
      </c>
      <c r="I1836" s="1079">
        <v>5.53</v>
      </c>
      <c r="J1836" s="1079">
        <v>2.96</v>
      </c>
      <c r="K1836" s="1079">
        <v>5.54</v>
      </c>
      <c r="L1836" s="1079">
        <v>3.82</v>
      </c>
      <c r="M1836" s="1079">
        <v>6.15</v>
      </c>
      <c r="N1836" s="1079">
        <v>4.9800000000000004</v>
      </c>
      <c r="O1836" s="1079">
        <v>6.15</v>
      </c>
      <c r="P1836" s="1079">
        <v>6.5</v>
      </c>
      <c r="Q1836" s="1079">
        <v>6</v>
      </c>
      <c r="R1836" s="1079">
        <v>2.2599999999999998</v>
      </c>
      <c r="S1836" s="1079">
        <v>6</v>
      </c>
      <c r="T1836" s="1079">
        <v>3.15</v>
      </c>
      <c r="U1836" s="1079">
        <v>6.01</v>
      </c>
      <c r="V1836" s="1079">
        <v>3.88</v>
      </c>
      <c r="W1836" s="1079"/>
      <c r="X1836" s="1079"/>
      <c r="Y1836" s="1079"/>
      <c r="Z1836" s="1079"/>
      <c r="AA1836" s="1079"/>
      <c r="AB1836" s="1079"/>
      <c r="AC1836" s="1079"/>
      <c r="AD1836" s="1080"/>
    </row>
    <row r="1837" spans="1:30" x14ac:dyDescent="0.2">
      <c r="A1837">
        <f t="shared" si="62"/>
        <v>50</v>
      </c>
      <c r="B1837">
        <v>1828</v>
      </c>
      <c r="C1837" s="1078">
        <v>2</v>
      </c>
      <c r="D1837" s="1077" t="s">
        <v>5692</v>
      </c>
      <c r="E1837" s="1077" t="s">
        <v>5701</v>
      </c>
      <c r="F1837" s="1079">
        <v>4</v>
      </c>
      <c r="G1837" s="1079">
        <v>6.22</v>
      </c>
      <c r="H1837" s="1079">
        <v>2.58</v>
      </c>
      <c r="I1837" s="1079">
        <v>5.59</v>
      </c>
      <c r="J1837" s="1079">
        <v>2.98</v>
      </c>
      <c r="K1837" s="1079">
        <v>5.59</v>
      </c>
      <c r="L1837" s="1079">
        <v>3.85</v>
      </c>
      <c r="M1837" s="1079">
        <v>6.19</v>
      </c>
      <c r="N1837" s="1079">
        <v>5.03</v>
      </c>
      <c r="O1837" s="1079">
        <v>6.2</v>
      </c>
      <c r="P1837" s="1079">
        <v>6.59</v>
      </c>
      <c r="Q1837" s="1079">
        <v>6.06</v>
      </c>
      <c r="R1837" s="1079">
        <v>2.36</v>
      </c>
      <c r="S1837" s="1079">
        <v>6.07</v>
      </c>
      <c r="T1837" s="1079">
        <v>3.32</v>
      </c>
      <c r="U1837" s="1079">
        <v>6.06</v>
      </c>
      <c r="V1837" s="1079">
        <v>4.1399999999999997</v>
      </c>
      <c r="W1837" s="1079"/>
      <c r="X1837" s="1079"/>
      <c r="Y1837" s="1079"/>
      <c r="Z1837" s="1079"/>
      <c r="AA1837" s="1079"/>
      <c r="AB1837" s="1079"/>
      <c r="AC1837" s="1079"/>
      <c r="AD1837" s="1080"/>
    </row>
    <row r="1838" spans="1:30" x14ac:dyDescent="0.2">
      <c r="A1838">
        <f t="shared" si="62"/>
        <v>50</v>
      </c>
      <c r="B1838">
        <v>1829</v>
      </c>
      <c r="C1838" s="1078">
        <v>2</v>
      </c>
      <c r="D1838" s="1077" t="s">
        <v>5692</v>
      </c>
      <c r="E1838" s="1077" t="s">
        <v>5702</v>
      </c>
      <c r="F1838" s="1079">
        <v>4</v>
      </c>
      <c r="G1838" s="1079">
        <v>6.15</v>
      </c>
      <c r="H1838" s="1079">
        <v>2.65</v>
      </c>
      <c r="I1838" s="1079">
        <v>5.53</v>
      </c>
      <c r="J1838" s="1079">
        <v>2.96</v>
      </c>
      <c r="K1838" s="1079">
        <v>5.54</v>
      </c>
      <c r="L1838" s="1079">
        <v>3.82</v>
      </c>
      <c r="M1838" s="1079">
        <v>6.15</v>
      </c>
      <c r="N1838" s="1079">
        <v>4.9800000000000004</v>
      </c>
      <c r="O1838" s="1079">
        <v>6.15</v>
      </c>
      <c r="P1838" s="1079">
        <v>6.5</v>
      </c>
      <c r="Q1838" s="1079">
        <v>6</v>
      </c>
      <c r="R1838" s="1079">
        <v>2.2599999999999998</v>
      </c>
      <c r="S1838" s="1079">
        <v>6</v>
      </c>
      <c r="T1838" s="1079">
        <v>3.15</v>
      </c>
      <c r="U1838" s="1079">
        <v>6.01</v>
      </c>
      <c r="V1838" s="1079">
        <v>3.88</v>
      </c>
      <c r="W1838" s="1079"/>
      <c r="X1838" s="1079"/>
      <c r="Y1838" s="1079"/>
      <c r="Z1838" s="1079"/>
      <c r="AA1838" s="1079"/>
      <c r="AB1838" s="1079"/>
      <c r="AC1838" s="1079"/>
      <c r="AD1838" s="1080"/>
    </row>
    <row r="1839" spans="1:30" x14ac:dyDescent="0.2">
      <c r="A1839">
        <f t="shared" si="62"/>
        <v>50</v>
      </c>
      <c r="B1839">
        <v>1830</v>
      </c>
      <c r="C1839" s="1078">
        <v>3</v>
      </c>
      <c r="D1839" s="1077" t="s">
        <v>5692</v>
      </c>
      <c r="E1839" s="1077" t="s">
        <v>5703</v>
      </c>
      <c r="F1839" s="1079">
        <v>4</v>
      </c>
      <c r="G1839" s="1079" t="s">
        <v>721</v>
      </c>
      <c r="H1839" s="1079" t="s">
        <v>721</v>
      </c>
      <c r="I1839" s="1079" t="s">
        <v>721</v>
      </c>
      <c r="J1839" s="1079" t="s">
        <v>721</v>
      </c>
      <c r="K1839" s="1079" t="s">
        <v>721</v>
      </c>
      <c r="L1839" s="1079" t="s">
        <v>721</v>
      </c>
      <c r="M1839" s="1079" t="s">
        <v>721</v>
      </c>
      <c r="N1839" s="1079" t="s">
        <v>721</v>
      </c>
      <c r="O1839" s="1079" t="s">
        <v>721</v>
      </c>
      <c r="P1839" s="1079" t="s">
        <v>721</v>
      </c>
      <c r="Q1839" s="1079" t="s">
        <v>721</v>
      </c>
      <c r="R1839" s="1079" t="s">
        <v>721</v>
      </c>
      <c r="S1839" s="1079" t="s">
        <v>721</v>
      </c>
      <c r="T1839" s="1079" t="s">
        <v>721</v>
      </c>
      <c r="U1839" s="1079" t="s">
        <v>721</v>
      </c>
      <c r="V1839" s="1079" t="s">
        <v>721</v>
      </c>
      <c r="W1839" s="1079">
        <v>9.08</v>
      </c>
      <c r="X1839" s="1079">
        <v>4.45</v>
      </c>
      <c r="Y1839" s="1079">
        <v>8.92</v>
      </c>
      <c r="Z1839" s="1079">
        <v>3</v>
      </c>
      <c r="AA1839" s="1079"/>
      <c r="AB1839" s="1079"/>
      <c r="AC1839" s="1079"/>
      <c r="AD1839" s="1080"/>
    </row>
    <row r="1840" spans="1:30" x14ac:dyDescent="0.2">
      <c r="A1840">
        <f t="shared" si="62"/>
        <v>50</v>
      </c>
      <c r="B1840">
        <v>1831</v>
      </c>
      <c r="C1840" s="1078">
        <v>3</v>
      </c>
      <c r="D1840" s="1077" t="s">
        <v>5692</v>
      </c>
      <c r="E1840" s="1077" t="s">
        <v>5704</v>
      </c>
      <c r="F1840" s="1079">
        <v>4</v>
      </c>
      <c r="G1840" s="1079" t="s">
        <v>721</v>
      </c>
      <c r="H1840" s="1079" t="s">
        <v>721</v>
      </c>
      <c r="I1840" s="1079" t="s">
        <v>721</v>
      </c>
      <c r="J1840" s="1079" t="s">
        <v>721</v>
      </c>
      <c r="K1840" s="1079" t="s">
        <v>721</v>
      </c>
      <c r="L1840" s="1079" t="s">
        <v>721</v>
      </c>
      <c r="M1840" s="1079" t="s">
        <v>721</v>
      </c>
      <c r="N1840" s="1079" t="s">
        <v>721</v>
      </c>
      <c r="O1840" s="1079" t="s">
        <v>721</v>
      </c>
      <c r="P1840" s="1079" t="s">
        <v>721</v>
      </c>
      <c r="Q1840" s="1079" t="s">
        <v>721</v>
      </c>
      <c r="R1840" s="1079" t="s">
        <v>721</v>
      </c>
      <c r="S1840" s="1079" t="s">
        <v>721</v>
      </c>
      <c r="T1840" s="1079" t="s">
        <v>721</v>
      </c>
      <c r="U1840" s="1079" t="s">
        <v>721</v>
      </c>
      <c r="V1840" s="1079" t="s">
        <v>721</v>
      </c>
      <c r="W1840" s="1079">
        <v>12.19</v>
      </c>
      <c r="X1840" s="1079">
        <v>4.8</v>
      </c>
      <c r="Y1840" s="1079">
        <v>12.07</v>
      </c>
      <c r="Z1840" s="1079">
        <v>3.15</v>
      </c>
      <c r="AA1840" s="1079"/>
      <c r="AB1840" s="1079"/>
      <c r="AC1840" s="1079"/>
      <c r="AD1840" s="1080"/>
    </row>
    <row r="1841" spans="1:30" x14ac:dyDescent="0.2">
      <c r="A1841">
        <f t="shared" si="62"/>
        <v>50</v>
      </c>
      <c r="B1841">
        <v>1832</v>
      </c>
      <c r="C1841" s="1078">
        <v>3</v>
      </c>
      <c r="D1841" s="1077" t="s">
        <v>5692</v>
      </c>
      <c r="E1841" s="1077" t="s">
        <v>5705</v>
      </c>
      <c r="F1841" s="1079">
        <v>4</v>
      </c>
      <c r="G1841" s="1079" t="s">
        <v>721</v>
      </c>
      <c r="H1841" s="1079" t="s">
        <v>721</v>
      </c>
      <c r="I1841" s="1079" t="s">
        <v>721</v>
      </c>
      <c r="J1841" s="1079" t="s">
        <v>721</v>
      </c>
      <c r="K1841" s="1079" t="s">
        <v>721</v>
      </c>
      <c r="L1841" s="1079" t="s">
        <v>721</v>
      </c>
      <c r="M1841" s="1079" t="s">
        <v>721</v>
      </c>
      <c r="N1841" s="1079" t="s">
        <v>721</v>
      </c>
      <c r="O1841" s="1079" t="s">
        <v>721</v>
      </c>
      <c r="P1841" s="1079" t="s">
        <v>721</v>
      </c>
      <c r="Q1841" s="1079" t="s">
        <v>721</v>
      </c>
      <c r="R1841" s="1079" t="s">
        <v>721</v>
      </c>
      <c r="S1841" s="1079" t="s">
        <v>721</v>
      </c>
      <c r="T1841" s="1079" t="s">
        <v>721</v>
      </c>
      <c r="U1841" s="1079" t="s">
        <v>721</v>
      </c>
      <c r="V1841" s="1079" t="s">
        <v>721</v>
      </c>
      <c r="W1841" s="1079">
        <v>18.18</v>
      </c>
      <c r="X1841" s="1079">
        <v>4.67</v>
      </c>
      <c r="Y1841" s="1079">
        <v>18.100000000000001</v>
      </c>
      <c r="Z1841" s="1079">
        <v>3.12</v>
      </c>
      <c r="AA1841" s="1079"/>
      <c r="AB1841" s="1079"/>
      <c r="AC1841" s="1079"/>
      <c r="AD1841" s="1080"/>
    </row>
    <row r="1842" spans="1:30" x14ac:dyDescent="0.2">
      <c r="A1842">
        <f t="shared" si="62"/>
        <v>50</v>
      </c>
      <c r="B1842">
        <v>1833</v>
      </c>
      <c r="C1842" s="1078">
        <v>4</v>
      </c>
      <c r="D1842" s="1077" t="s">
        <v>5692</v>
      </c>
      <c r="E1842" s="1077" t="s">
        <v>5703</v>
      </c>
      <c r="F1842" s="1079">
        <v>4</v>
      </c>
      <c r="G1842" s="1079" t="s">
        <v>721</v>
      </c>
      <c r="H1842" s="1079" t="s">
        <v>721</v>
      </c>
      <c r="I1842" s="1079" t="s">
        <v>721</v>
      </c>
      <c r="J1842" s="1079" t="s">
        <v>721</v>
      </c>
      <c r="K1842" s="1079" t="s">
        <v>721</v>
      </c>
      <c r="L1842" s="1079" t="s">
        <v>721</v>
      </c>
      <c r="M1842" s="1079" t="s">
        <v>721</v>
      </c>
      <c r="N1842" s="1079" t="s">
        <v>721</v>
      </c>
      <c r="O1842" s="1079" t="s">
        <v>721</v>
      </c>
      <c r="P1842" s="1079" t="s">
        <v>721</v>
      </c>
      <c r="Q1842" s="1079" t="s">
        <v>721</v>
      </c>
      <c r="R1842" s="1079" t="s">
        <v>721</v>
      </c>
      <c r="S1842" s="1079" t="s">
        <v>721</v>
      </c>
      <c r="T1842" s="1079" t="s">
        <v>721</v>
      </c>
      <c r="U1842" s="1079" t="s">
        <v>721</v>
      </c>
      <c r="V1842" s="1079" t="s">
        <v>721</v>
      </c>
      <c r="W1842" s="1079" t="s">
        <v>721</v>
      </c>
      <c r="X1842" s="1079" t="s">
        <v>721</v>
      </c>
      <c r="Y1842" s="1079" t="s">
        <v>721</v>
      </c>
      <c r="Z1842" s="1079" t="s">
        <v>721</v>
      </c>
      <c r="AA1842" s="1079">
        <v>9.1</v>
      </c>
      <c r="AB1842" s="1079">
        <v>6.25</v>
      </c>
      <c r="AC1842" s="1079">
        <v>9</v>
      </c>
      <c r="AD1842" s="1080">
        <v>3.88</v>
      </c>
    </row>
    <row r="1843" spans="1:30" x14ac:dyDescent="0.2">
      <c r="A1843">
        <f t="shared" si="62"/>
        <v>50</v>
      </c>
      <c r="B1843">
        <v>1834</v>
      </c>
      <c r="C1843" s="1078">
        <v>4</v>
      </c>
      <c r="D1843" s="1077" t="s">
        <v>5692</v>
      </c>
      <c r="E1843" s="1077" t="s">
        <v>5704</v>
      </c>
      <c r="F1843" s="1079">
        <v>4</v>
      </c>
      <c r="G1843" s="1079" t="s">
        <v>721</v>
      </c>
      <c r="H1843" s="1079" t="s">
        <v>721</v>
      </c>
      <c r="I1843" s="1079" t="s">
        <v>721</v>
      </c>
      <c r="J1843" s="1079" t="s">
        <v>721</v>
      </c>
      <c r="K1843" s="1079" t="s">
        <v>721</v>
      </c>
      <c r="L1843" s="1079" t="s">
        <v>721</v>
      </c>
      <c r="M1843" s="1079" t="s">
        <v>721</v>
      </c>
      <c r="N1843" s="1079" t="s">
        <v>721</v>
      </c>
      <c r="O1843" s="1079" t="s">
        <v>721</v>
      </c>
      <c r="P1843" s="1079" t="s">
        <v>721</v>
      </c>
      <c r="Q1843" s="1079" t="s">
        <v>721</v>
      </c>
      <c r="R1843" s="1079" t="s">
        <v>721</v>
      </c>
      <c r="S1843" s="1079" t="s">
        <v>721</v>
      </c>
      <c r="T1843" s="1079" t="s">
        <v>721</v>
      </c>
      <c r="U1843" s="1079" t="s">
        <v>721</v>
      </c>
      <c r="V1843" s="1079" t="s">
        <v>721</v>
      </c>
      <c r="W1843" s="1079" t="s">
        <v>721</v>
      </c>
      <c r="X1843" s="1079" t="s">
        <v>721</v>
      </c>
      <c r="Y1843" s="1079" t="s">
        <v>721</v>
      </c>
      <c r="Z1843" s="1079" t="s">
        <v>721</v>
      </c>
      <c r="AA1843" s="1079">
        <v>12.15</v>
      </c>
      <c r="AB1843" s="1079">
        <v>6.66</v>
      </c>
      <c r="AC1843" s="1079">
        <v>12.06</v>
      </c>
      <c r="AD1843" s="1080">
        <v>4.1100000000000003</v>
      </c>
    </row>
    <row r="1844" spans="1:30" x14ac:dyDescent="0.2">
      <c r="A1844">
        <f t="shared" si="62"/>
        <v>50</v>
      </c>
      <c r="B1844">
        <v>1835</v>
      </c>
      <c r="C1844" s="1078">
        <v>4</v>
      </c>
      <c r="D1844" s="1077" t="s">
        <v>5692</v>
      </c>
      <c r="E1844" s="1077" t="s">
        <v>5705</v>
      </c>
      <c r="F1844" s="1079">
        <v>4</v>
      </c>
      <c r="G1844" s="1079" t="s">
        <v>721</v>
      </c>
      <c r="H1844" s="1079" t="s">
        <v>721</v>
      </c>
      <c r="I1844" s="1079" t="s">
        <v>721</v>
      </c>
      <c r="J1844" s="1079" t="s">
        <v>721</v>
      </c>
      <c r="K1844" s="1079" t="s">
        <v>721</v>
      </c>
      <c r="L1844" s="1079" t="s">
        <v>721</v>
      </c>
      <c r="M1844" s="1079" t="s">
        <v>721</v>
      </c>
      <c r="N1844" s="1079" t="s">
        <v>721</v>
      </c>
      <c r="O1844" s="1079" t="s">
        <v>721</v>
      </c>
      <c r="P1844" s="1079" t="s">
        <v>721</v>
      </c>
      <c r="Q1844" s="1079" t="s">
        <v>721</v>
      </c>
      <c r="R1844" s="1079" t="s">
        <v>721</v>
      </c>
      <c r="S1844" s="1079" t="s">
        <v>721</v>
      </c>
      <c r="T1844" s="1079" t="s">
        <v>721</v>
      </c>
      <c r="U1844" s="1079" t="s">
        <v>721</v>
      </c>
      <c r="V1844" s="1079" t="s">
        <v>721</v>
      </c>
      <c r="W1844" s="1079" t="s">
        <v>721</v>
      </c>
      <c r="X1844" s="1079" t="s">
        <v>721</v>
      </c>
      <c r="Y1844" s="1079" t="s">
        <v>721</v>
      </c>
      <c r="Z1844" s="1079" t="s">
        <v>721</v>
      </c>
      <c r="AA1844" s="1079">
        <v>18.100000000000001</v>
      </c>
      <c r="AB1844" s="1079">
        <v>6.37</v>
      </c>
      <c r="AC1844" s="1079">
        <v>18.16</v>
      </c>
      <c r="AD1844" s="1080">
        <v>4.04</v>
      </c>
    </row>
    <row r="1845" spans="1:30" x14ac:dyDescent="0.2">
      <c r="A1845">
        <f t="shared" si="62"/>
        <v>51</v>
      </c>
      <c r="B1845">
        <v>1836</v>
      </c>
      <c r="C1845" s="1078"/>
      <c r="D1845" s="1077"/>
      <c r="E1845" s="1077"/>
      <c r="F1845" s="1079"/>
      <c r="G1845" s="1079"/>
      <c r="H1845" s="1079"/>
      <c r="I1845" s="1079"/>
      <c r="J1845" s="1079"/>
      <c r="K1845" s="1079"/>
      <c r="L1845" s="1079"/>
      <c r="M1845" s="1079"/>
      <c r="N1845" s="1079"/>
      <c r="O1845" s="1079"/>
      <c r="P1845" s="1079"/>
      <c r="Q1845" s="1079"/>
      <c r="R1845" s="1079"/>
      <c r="S1845" s="1079"/>
      <c r="T1845" s="1079"/>
      <c r="U1845" s="1079"/>
      <c r="V1845" s="1079"/>
      <c r="W1845" s="1079"/>
      <c r="X1845" s="1079"/>
      <c r="Y1845" s="1079"/>
      <c r="Z1845" s="1079"/>
      <c r="AA1845" s="1079"/>
      <c r="AB1845" s="1079"/>
      <c r="AC1845" s="1079"/>
      <c r="AD1845" s="1080"/>
    </row>
    <row r="1846" spans="1:30" x14ac:dyDescent="0.2">
      <c r="A1846">
        <f t="shared" si="62"/>
        <v>51</v>
      </c>
      <c r="B1846">
        <v>1837</v>
      </c>
      <c r="C1846" s="1078"/>
      <c r="D1846" s="1077"/>
      <c r="E1846" s="1077"/>
      <c r="F1846" s="1079"/>
      <c r="G1846" s="1079"/>
      <c r="H1846" s="1079"/>
      <c r="I1846" s="1079"/>
      <c r="J1846" s="1079"/>
      <c r="K1846" s="1079"/>
      <c r="L1846" s="1079"/>
      <c r="M1846" s="1079"/>
      <c r="N1846" s="1079"/>
      <c r="O1846" s="1079"/>
      <c r="P1846" s="1079"/>
      <c r="Q1846" s="1079"/>
      <c r="R1846" s="1079"/>
      <c r="S1846" s="1079"/>
      <c r="T1846" s="1079"/>
      <c r="U1846" s="1079"/>
      <c r="V1846" s="1079"/>
      <c r="W1846" s="1079"/>
      <c r="X1846" s="1079"/>
      <c r="Y1846" s="1079"/>
      <c r="Z1846" s="1079"/>
      <c r="AA1846" s="1079"/>
      <c r="AB1846" s="1079"/>
      <c r="AC1846" s="1079"/>
      <c r="AD1846" s="1080"/>
    </row>
    <row r="1847" spans="1:30" x14ac:dyDescent="0.2">
      <c r="A1847">
        <f t="shared" si="62"/>
        <v>51</v>
      </c>
      <c r="B1847">
        <v>1838</v>
      </c>
      <c r="C1847" s="1078"/>
      <c r="D1847" s="1077"/>
      <c r="E1847" s="1077"/>
      <c r="F1847" s="1079"/>
      <c r="G1847" s="1079"/>
      <c r="H1847" s="1079"/>
      <c r="I1847" s="1079"/>
      <c r="J1847" s="1079"/>
      <c r="K1847" s="1079"/>
      <c r="L1847" s="1079"/>
      <c r="M1847" s="1079"/>
      <c r="N1847" s="1079"/>
      <c r="O1847" s="1079"/>
      <c r="P1847" s="1079"/>
      <c r="Q1847" s="1079"/>
      <c r="R1847" s="1079"/>
      <c r="S1847" s="1079"/>
      <c r="T1847" s="1079"/>
      <c r="U1847" s="1079"/>
      <c r="V1847" s="1079"/>
      <c r="W1847" s="1079"/>
      <c r="X1847" s="1079"/>
      <c r="Y1847" s="1079"/>
      <c r="Z1847" s="1079"/>
      <c r="AA1847" s="1079"/>
      <c r="AB1847" s="1079"/>
      <c r="AC1847" s="1079"/>
      <c r="AD1847" s="1080"/>
    </row>
    <row r="1848" spans="1:30" x14ac:dyDescent="0.2">
      <c r="A1848">
        <f t="shared" si="62"/>
        <v>51</v>
      </c>
      <c r="B1848">
        <v>1839</v>
      </c>
      <c r="C1848" s="1078"/>
      <c r="D1848" s="1077"/>
      <c r="E1848" s="1077"/>
      <c r="F1848" s="1079"/>
      <c r="G1848" s="1079"/>
      <c r="H1848" s="1079"/>
      <c r="I1848" s="1079"/>
      <c r="J1848" s="1079"/>
      <c r="K1848" s="1079"/>
      <c r="L1848" s="1079"/>
      <c r="M1848" s="1079"/>
      <c r="N1848" s="1079"/>
      <c r="O1848" s="1079"/>
      <c r="P1848" s="1079"/>
      <c r="Q1848" s="1079"/>
      <c r="R1848" s="1079"/>
      <c r="S1848" s="1079"/>
      <c r="T1848" s="1079"/>
      <c r="U1848" s="1079"/>
      <c r="V1848" s="1079"/>
      <c r="W1848" s="1079"/>
      <c r="X1848" s="1079"/>
      <c r="Y1848" s="1079"/>
      <c r="Z1848" s="1079"/>
      <c r="AA1848" s="1079"/>
      <c r="AB1848" s="1079"/>
      <c r="AC1848" s="1079"/>
      <c r="AD1848" s="1080"/>
    </row>
    <row r="1849" spans="1:30" x14ac:dyDescent="0.2">
      <c r="A1849">
        <f t="shared" si="62"/>
        <v>51</v>
      </c>
      <c r="B1849">
        <v>1840</v>
      </c>
      <c r="C1849" s="1078"/>
      <c r="D1849" s="1077"/>
      <c r="E1849" s="1077"/>
      <c r="F1849" s="1079"/>
      <c r="G1849" s="1079"/>
      <c r="H1849" s="1079"/>
      <c r="I1849" s="1079"/>
      <c r="J1849" s="1079"/>
      <c r="K1849" s="1079"/>
      <c r="L1849" s="1079"/>
      <c r="M1849" s="1079"/>
      <c r="N1849" s="1079"/>
      <c r="O1849" s="1079"/>
      <c r="P1849" s="1079"/>
      <c r="Q1849" s="1079"/>
      <c r="R1849" s="1079"/>
      <c r="S1849" s="1079"/>
      <c r="T1849" s="1079"/>
      <c r="U1849" s="1079"/>
      <c r="V1849" s="1079"/>
      <c r="W1849" s="1079"/>
      <c r="X1849" s="1079"/>
      <c r="Y1849" s="1079"/>
      <c r="Z1849" s="1079"/>
      <c r="AA1849" s="1079"/>
      <c r="AB1849" s="1079"/>
      <c r="AC1849" s="1079"/>
      <c r="AD1849" s="1080"/>
    </row>
    <row r="1850" spans="1:30" x14ac:dyDescent="0.2">
      <c r="A1850">
        <f t="shared" si="62"/>
        <v>51</v>
      </c>
      <c r="B1850">
        <v>1841</v>
      </c>
      <c r="C1850" s="1078"/>
      <c r="D1850" s="1077"/>
      <c r="E1850" s="1077"/>
      <c r="F1850" s="1079"/>
      <c r="G1850" s="1079"/>
      <c r="H1850" s="1079"/>
      <c r="I1850" s="1079"/>
      <c r="J1850" s="1079"/>
      <c r="K1850" s="1079"/>
      <c r="L1850" s="1079"/>
      <c r="M1850" s="1079"/>
      <c r="N1850" s="1079"/>
      <c r="O1850" s="1079"/>
      <c r="P1850" s="1079"/>
      <c r="Q1850" s="1079"/>
      <c r="R1850" s="1079"/>
      <c r="S1850" s="1079"/>
      <c r="T1850" s="1079"/>
      <c r="U1850" s="1079"/>
      <c r="V1850" s="1079"/>
      <c r="W1850" s="1079"/>
      <c r="X1850" s="1079"/>
      <c r="Y1850" s="1079"/>
      <c r="Z1850" s="1079"/>
      <c r="AA1850" s="1079"/>
      <c r="AB1850" s="1079"/>
      <c r="AC1850" s="1079"/>
      <c r="AD1850" s="1080"/>
    </row>
    <row r="1851" spans="1:30" x14ac:dyDescent="0.2">
      <c r="A1851">
        <f t="shared" si="62"/>
        <v>51</v>
      </c>
      <c r="B1851">
        <v>1842</v>
      </c>
      <c r="C1851" s="1078"/>
      <c r="D1851" s="1077"/>
      <c r="E1851" s="1077"/>
      <c r="F1851" s="1079"/>
      <c r="G1851" s="1079"/>
      <c r="H1851" s="1079"/>
      <c r="I1851" s="1079"/>
      <c r="J1851" s="1079"/>
      <c r="K1851" s="1079"/>
      <c r="L1851" s="1079"/>
      <c r="M1851" s="1079"/>
      <c r="N1851" s="1079"/>
      <c r="O1851" s="1079"/>
      <c r="P1851" s="1079"/>
      <c r="Q1851" s="1079"/>
      <c r="R1851" s="1079"/>
      <c r="S1851" s="1079"/>
      <c r="T1851" s="1079"/>
      <c r="U1851" s="1079"/>
      <c r="V1851" s="1079"/>
      <c r="W1851" s="1079"/>
      <c r="X1851" s="1079"/>
      <c r="Y1851" s="1079"/>
      <c r="Z1851" s="1079"/>
      <c r="AA1851" s="1079"/>
      <c r="AB1851" s="1079"/>
      <c r="AC1851" s="1079"/>
      <c r="AD1851" s="1080"/>
    </row>
    <row r="1852" spans="1:30" x14ac:dyDescent="0.2">
      <c r="A1852">
        <f t="shared" si="62"/>
        <v>51</v>
      </c>
      <c r="B1852">
        <v>1843</v>
      </c>
      <c r="C1852" s="1078"/>
      <c r="D1852" s="1077"/>
      <c r="E1852" s="1077"/>
      <c r="F1852" s="1079"/>
      <c r="G1852" s="1079"/>
      <c r="H1852" s="1079"/>
      <c r="I1852" s="1079"/>
      <c r="J1852" s="1079"/>
      <c r="K1852" s="1079"/>
      <c r="L1852" s="1079"/>
      <c r="M1852" s="1079"/>
      <c r="N1852" s="1079"/>
      <c r="O1852" s="1079"/>
      <c r="P1852" s="1079"/>
      <c r="Q1852" s="1079"/>
      <c r="R1852" s="1079"/>
      <c r="S1852" s="1079"/>
      <c r="T1852" s="1079"/>
      <c r="U1852" s="1079"/>
      <c r="V1852" s="1079"/>
      <c r="W1852" s="1079"/>
      <c r="X1852" s="1079"/>
      <c r="Y1852" s="1079"/>
      <c r="Z1852" s="1079"/>
      <c r="AA1852" s="1079"/>
      <c r="AB1852" s="1079"/>
      <c r="AC1852" s="1079"/>
      <c r="AD1852" s="1080"/>
    </row>
    <row r="1853" spans="1:30" x14ac:dyDescent="0.2">
      <c r="A1853">
        <f t="shared" si="62"/>
        <v>51</v>
      </c>
      <c r="B1853">
        <v>1844</v>
      </c>
      <c r="C1853" s="1078"/>
      <c r="D1853" s="1077"/>
      <c r="E1853" s="1077"/>
      <c r="F1853" s="1079"/>
      <c r="G1853" s="1079"/>
      <c r="H1853" s="1079"/>
      <c r="I1853" s="1079"/>
      <c r="J1853" s="1079"/>
      <c r="K1853" s="1079"/>
      <c r="L1853" s="1079"/>
      <c r="M1853" s="1079"/>
      <c r="N1853" s="1079"/>
      <c r="O1853" s="1079"/>
      <c r="P1853" s="1079"/>
      <c r="Q1853" s="1079"/>
      <c r="R1853" s="1079"/>
      <c r="S1853" s="1079"/>
      <c r="T1853" s="1079"/>
      <c r="U1853" s="1079"/>
      <c r="V1853" s="1079"/>
      <c r="W1853" s="1079"/>
      <c r="X1853" s="1079"/>
      <c r="Y1853" s="1079"/>
      <c r="Z1853" s="1079"/>
      <c r="AA1853" s="1079"/>
      <c r="AB1853" s="1079"/>
      <c r="AC1853" s="1079"/>
      <c r="AD1853" s="1080"/>
    </row>
    <row r="1854" spans="1:30" x14ac:dyDescent="0.2">
      <c r="A1854">
        <f t="shared" si="62"/>
        <v>51</v>
      </c>
      <c r="B1854">
        <v>1845</v>
      </c>
      <c r="C1854" s="1078"/>
      <c r="D1854" s="1077"/>
      <c r="E1854" s="1077"/>
      <c r="F1854" s="1079"/>
      <c r="G1854" s="1079"/>
      <c r="H1854" s="1079"/>
      <c r="I1854" s="1079"/>
      <c r="J1854" s="1079"/>
      <c r="K1854" s="1079"/>
      <c r="L1854" s="1079"/>
      <c r="M1854" s="1079"/>
      <c r="N1854" s="1079"/>
      <c r="O1854" s="1079"/>
      <c r="P1854" s="1079"/>
      <c r="Q1854" s="1079"/>
      <c r="R1854" s="1079"/>
      <c r="S1854" s="1079"/>
      <c r="T1854" s="1079"/>
      <c r="U1854" s="1079"/>
      <c r="V1854" s="1079"/>
      <c r="W1854" s="1079"/>
      <c r="X1854" s="1079"/>
      <c r="Y1854" s="1079"/>
      <c r="Z1854" s="1079"/>
      <c r="AA1854" s="1079"/>
      <c r="AB1854" s="1079"/>
      <c r="AC1854" s="1079"/>
      <c r="AD1854" s="1080"/>
    </row>
    <row r="1855" spans="1:30" x14ac:dyDescent="0.2">
      <c r="A1855">
        <f t="shared" si="62"/>
        <v>51</v>
      </c>
      <c r="B1855">
        <v>1846</v>
      </c>
      <c r="C1855" s="1078"/>
      <c r="D1855" s="1077"/>
      <c r="E1855" s="1077"/>
      <c r="F1855" s="1079"/>
      <c r="G1855" s="1079"/>
      <c r="H1855" s="1079"/>
      <c r="I1855" s="1079"/>
      <c r="J1855" s="1079"/>
      <c r="K1855" s="1079"/>
      <c r="L1855" s="1079"/>
      <c r="M1855" s="1079"/>
      <c r="N1855" s="1079"/>
      <c r="O1855" s="1079"/>
      <c r="P1855" s="1079"/>
      <c r="Q1855" s="1079"/>
      <c r="R1855" s="1079"/>
      <c r="S1855" s="1079"/>
      <c r="T1855" s="1079"/>
      <c r="U1855" s="1079"/>
      <c r="V1855" s="1079"/>
      <c r="W1855" s="1079"/>
      <c r="X1855" s="1079"/>
      <c r="Y1855" s="1079"/>
      <c r="Z1855" s="1079"/>
      <c r="AA1855" s="1079"/>
      <c r="AB1855" s="1079"/>
      <c r="AC1855" s="1079"/>
      <c r="AD1855" s="1080"/>
    </row>
    <row r="1856" spans="1:30" x14ac:dyDescent="0.2">
      <c r="A1856">
        <f t="shared" si="62"/>
        <v>51</v>
      </c>
      <c r="B1856">
        <v>1847</v>
      </c>
      <c r="C1856" s="1078"/>
      <c r="D1856" s="1077"/>
      <c r="E1856" s="1077"/>
      <c r="F1856" s="1079"/>
      <c r="G1856" s="1079"/>
      <c r="H1856" s="1079"/>
      <c r="I1856" s="1079"/>
      <c r="J1856" s="1079"/>
      <c r="K1856" s="1079"/>
      <c r="L1856" s="1079"/>
      <c r="M1856" s="1079"/>
      <c r="N1856" s="1079"/>
      <c r="O1856" s="1079"/>
      <c r="P1856" s="1079"/>
      <c r="Q1856" s="1079"/>
      <c r="R1856" s="1079"/>
      <c r="S1856" s="1079"/>
      <c r="T1856" s="1079"/>
      <c r="U1856" s="1079"/>
      <c r="V1856" s="1079"/>
      <c r="W1856" s="1079"/>
      <c r="X1856" s="1079"/>
      <c r="Y1856" s="1079"/>
      <c r="Z1856" s="1079"/>
      <c r="AA1856" s="1079"/>
      <c r="AB1856" s="1079"/>
      <c r="AC1856" s="1079"/>
      <c r="AD1856" s="1080"/>
    </row>
    <row r="1857" spans="1:30" x14ac:dyDescent="0.2">
      <c r="A1857">
        <f t="shared" si="62"/>
        <v>51</v>
      </c>
      <c r="B1857">
        <v>1848</v>
      </c>
      <c r="C1857" s="1078"/>
      <c r="D1857" s="1077"/>
      <c r="E1857" s="1077"/>
      <c r="F1857" s="1079"/>
      <c r="G1857" s="1079"/>
      <c r="H1857" s="1079"/>
      <c r="I1857" s="1079"/>
      <c r="J1857" s="1079"/>
      <c r="K1857" s="1079"/>
      <c r="L1857" s="1079"/>
      <c r="M1857" s="1079"/>
      <c r="N1857" s="1079"/>
      <c r="O1857" s="1079"/>
      <c r="P1857" s="1079"/>
      <c r="Q1857" s="1079"/>
      <c r="R1857" s="1079"/>
      <c r="S1857" s="1079"/>
      <c r="T1857" s="1079"/>
      <c r="U1857" s="1079"/>
      <c r="V1857" s="1079"/>
      <c r="W1857" s="1079"/>
      <c r="X1857" s="1079"/>
      <c r="Y1857" s="1079"/>
      <c r="Z1857" s="1079"/>
      <c r="AA1857" s="1079"/>
      <c r="AB1857" s="1079"/>
      <c r="AC1857" s="1079"/>
      <c r="AD1857" s="1080"/>
    </row>
    <row r="1858" spans="1:30" x14ac:dyDescent="0.2">
      <c r="A1858">
        <f t="shared" si="62"/>
        <v>51</v>
      </c>
      <c r="B1858">
        <v>1849</v>
      </c>
      <c r="C1858" s="1078"/>
      <c r="D1858" s="1077"/>
      <c r="E1858" s="1077"/>
      <c r="F1858" s="1079"/>
      <c r="G1858" s="1079"/>
      <c r="H1858" s="1079"/>
      <c r="I1858" s="1079"/>
      <c r="J1858" s="1079"/>
      <c r="K1858" s="1079"/>
      <c r="L1858" s="1079"/>
      <c r="M1858" s="1079"/>
      <c r="N1858" s="1079"/>
      <c r="O1858" s="1079"/>
      <c r="P1858" s="1079"/>
      <c r="Q1858" s="1079"/>
      <c r="R1858" s="1079"/>
      <c r="S1858" s="1079"/>
      <c r="T1858" s="1079"/>
      <c r="U1858" s="1079"/>
      <c r="V1858" s="1079"/>
      <c r="W1858" s="1079"/>
      <c r="X1858" s="1079"/>
      <c r="Y1858" s="1079"/>
      <c r="Z1858" s="1079"/>
      <c r="AA1858" s="1079"/>
      <c r="AB1858" s="1079"/>
      <c r="AC1858" s="1079"/>
      <c r="AD1858" s="1080"/>
    </row>
    <row r="1859" spans="1:30" x14ac:dyDescent="0.2">
      <c r="A1859">
        <f t="shared" si="62"/>
        <v>51</v>
      </c>
      <c r="B1859">
        <v>1850</v>
      </c>
      <c r="C1859" s="1078"/>
      <c r="D1859" s="1077"/>
      <c r="E1859" s="1077"/>
      <c r="F1859" s="1079"/>
      <c r="G1859" s="1079"/>
      <c r="H1859" s="1079"/>
      <c r="I1859" s="1079"/>
      <c r="J1859" s="1079"/>
      <c r="K1859" s="1079"/>
      <c r="L1859" s="1079"/>
      <c r="M1859" s="1079"/>
      <c r="N1859" s="1079"/>
      <c r="O1859" s="1079"/>
      <c r="P1859" s="1079"/>
      <c r="Q1859" s="1079"/>
      <c r="R1859" s="1079"/>
      <c r="S1859" s="1079"/>
      <c r="T1859" s="1079"/>
      <c r="U1859" s="1079"/>
      <c r="V1859" s="1079"/>
      <c r="W1859" s="1079"/>
      <c r="X1859" s="1079"/>
      <c r="Y1859" s="1079"/>
      <c r="Z1859" s="1079"/>
      <c r="AA1859" s="1079"/>
      <c r="AB1859" s="1079"/>
      <c r="AC1859" s="1079"/>
      <c r="AD1859" s="1080"/>
    </row>
    <row r="1860" spans="1:30" x14ac:dyDescent="0.2">
      <c r="A1860">
        <f t="shared" si="62"/>
        <v>51</v>
      </c>
      <c r="B1860">
        <v>1851</v>
      </c>
      <c r="C1860" s="1078"/>
      <c r="D1860" s="1077"/>
      <c r="E1860" s="1077"/>
      <c r="F1860" s="1079"/>
      <c r="G1860" s="1079"/>
      <c r="H1860" s="1079"/>
      <c r="I1860" s="1079"/>
      <c r="J1860" s="1079"/>
      <c r="K1860" s="1079"/>
      <c r="L1860" s="1079"/>
      <c r="M1860" s="1079"/>
      <c r="N1860" s="1079"/>
      <c r="O1860" s="1079"/>
      <c r="P1860" s="1079"/>
      <c r="Q1860" s="1079"/>
      <c r="R1860" s="1079"/>
      <c r="S1860" s="1079"/>
      <c r="T1860" s="1079"/>
      <c r="U1860" s="1079"/>
      <c r="V1860" s="1079"/>
      <c r="W1860" s="1079"/>
      <c r="X1860" s="1079"/>
      <c r="Y1860" s="1079"/>
      <c r="Z1860" s="1079"/>
      <c r="AA1860" s="1079"/>
      <c r="AB1860" s="1079"/>
      <c r="AC1860" s="1079"/>
      <c r="AD1860" s="1080"/>
    </row>
    <row r="1861" spans="1:30" x14ac:dyDescent="0.2">
      <c r="A1861">
        <f t="shared" si="62"/>
        <v>51</v>
      </c>
      <c r="B1861">
        <v>1852</v>
      </c>
      <c r="C1861" s="1078"/>
      <c r="D1861" s="1077"/>
      <c r="E1861" s="1077"/>
      <c r="F1861" s="1079"/>
      <c r="G1861" s="1079"/>
      <c r="H1861" s="1079"/>
      <c r="I1861" s="1079"/>
      <c r="J1861" s="1079"/>
      <c r="K1861" s="1079"/>
      <c r="L1861" s="1079"/>
      <c r="M1861" s="1079"/>
      <c r="N1861" s="1079"/>
      <c r="O1861" s="1079"/>
      <c r="P1861" s="1079"/>
      <c r="Q1861" s="1079"/>
      <c r="R1861" s="1079"/>
      <c r="S1861" s="1079"/>
      <c r="T1861" s="1079"/>
      <c r="U1861" s="1079"/>
      <c r="V1861" s="1079"/>
      <c r="W1861" s="1079"/>
      <c r="X1861" s="1079"/>
      <c r="Y1861" s="1079"/>
      <c r="Z1861" s="1079"/>
      <c r="AA1861" s="1079"/>
      <c r="AB1861" s="1079"/>
      <c r="AC1861" s="1079"/>
      <c r="AD1861" s="1080"/>
    </row>
    <row r="1862" spans="1:30" x14ac:dyDescent="0.2">
      <c r="A1862">
        <f t="shared" si="62"/>
        <v>51</v>
      </c>
      <c r="B1862">
        <v>1853</v>
      </c>
      <c r="C1862" s="1078"/>
      <c r="D1862" s="1077"/>
      <c r="E1862" s="1077"/>
      <c r="F1862" s="1079"/>
      <c r="G1862" s="1079"/>
      <c r="H1862" s="1079"/>
      <c r="I1862" s="1079"/>
      <c r="J1862" s="1079"/>
      <c r="K1862" s="1079"/>
      <c r="L1862" s="1079"/>
      <c r="M1862" s="1079"/>
      <c r="N1862" s="1079"/>
      <c r="O1862" s="1079"/>
      <c r="P1862" s="1079"/>
      <c r="Q1862" s="1079"/>
      <c r="R1862" s="1079"/>
      <c r="S1862" s="1079"/>
      <c r="T1862" s="1079"/>
      <c r="U1862" s="1079"/>
      <c r="V1862" s="1079"/>
      <c r="W1862" s="1079"/>
      <c r="X1862" s="1079"/>
      <c r="Y1862" s="1079"/>
      <c r="Z1862" s="1079"/>
      <c r="AA1862" s="1079"/>
      <c r="AB1862" s="1079"/>
      <c r="AC1862" s="1079"/>
      <c r="AD1862" s="1080"/>
    </row>
    <row r="1863" spans="1:30" x14ac:dyDescent="0.2">
      <c r="A1863">
        <f t="shared" si="62"/>
        <v>51</v>
      </c>
      <c r="B1863">
        <v>1854</v>
      </c>
      <c r="C1863" s="1078"/>
      <c r="D1863" s="1077"/>
      <c r="E1863" s="1077"/>
      <c r="F1863" s="1079"/>
      <c r="G1863" s="1079"/>
      <c r="H1863" s="1079"/>
      <c r="I1863" s="1079"/>
      <c r="J1863" s="1079"/>
      <c r="K1863" s="1079"/>
      <c r="L1863" s="1079"/>
      <c r="M1863" s="1079"/>
      <c r="N1863" s="1079"/>
      <c r="O1863" s="1079"/>
      <c r="P1863" s="1079"/>
      <c r="Q1863" s="1079"/>
      <c r="R1863" s="1079"/>
      <c r="S1863" s="1079"/>
      <c r="T1863" s="1079"/>
      <c r="U1863" s="1079"/>
      <c r="V1863" s="1079"/>
      <c r="W1863" s="1079"/>
      <c r="X1863" s="1079"/>
      <c r="Y1863" s="1079"/>
      <c r="Z1863" s="1079"/>
      <c r="AA1863" s="1079"/>
      <c r="AB1863" s="1079"/>
      <c r="AC1863" s="1079"/>
      <c r="AD1863" s="1080"/>
    </row>
    <row r="1864" spans="1:30" x14ac:dyDescent="0.2">
      <c r="A1864">
        <f t="shared" si="62"/>
        <v>51</v>
      </c>
      <c r="B1864">
        <v>1855</v>
      </c>
      <c r="C1864" s="1078"/>
      <c r="D1864" s="1077"/>
      <c r="E1864" s="1077"/>
      <c r="F1864" s="1079"/>
      <c r="G1864" s="1079"/>
      <c r="H1864" s="1079"/>
      <c r="I1864" s="1079"/>
      <c r="J1864" s="1079"/>
      <c r="K1864" s="1079"/>
      <c r="L1864" s="1079"/>
      <c r="M1864" s="1079"/>
      <c r="N1864" s="1079"/>
      <c r="O1864" s="1079"/>
      <c r="P1864" s="1079"/>
      <c r="Q1864" s="1079"/>
      <c r="R1864" s="1079"/>
      <c r="S1864" s="1079"/>
      <c r="T1864" s="1079"/>
      <c r="U1864" s="1079"/>
      <c r="V1864" s="1079"/>
      <c r="W1864" s="1079"/>
      <c r="X1864" s="1079"/>
      <c r="Y1864" s="1079"/>
      <c r="Z1864" s="1079"/>
      <c r="AA1864" s="1079"/>
      <c r="AB1864" s="1079"/>
      <c r="AC1864" s="1079"/>
      <c r="AD1864" s="1080"/>
    </row>
    <row r="1865" spans="1:30" x14ac:dyDescent="0.2">
      <c r="A1865">
        <f t="shared" si="62"/>
        <v>51</v>
      </c>
      <c r="B1865">
        <v>1856</v>
      </c>
      <c r="C1865" s="1078"/>
      <c r="D1865" s="1077"/>
      <c r="E1865" s="1077"/>
      <c r="F1865" s="1079"/>
      <c r="G1865" s="1079"/>
      <c r="H1865" s="1079"/>
      <c r="I1865" s="1079"/>
      <c r="J1865" s="1079"/>
      <c r="K1865" s="1079"/>
      <c r="L1865" s="1079"/>
      <c r="M1865" s="1079"/>
      <c r="N1865" s="1079"/>
      <c r="O1865" s="1079"/>
      <c r="P1865" s="1079"/>
      <c r="Q1865" s="1079"/>
      <c r="R1865" s="1079"/>
      <c r="S1865" s="1079"/>
      <c r="T1865" s="1079"/>
      <c r="U1865" s="1079"/>
      <c r="V1865" s="1079"/>
      <c r="W1865" s="1079"/>
      <c r="X1865" s="1079"/>
      <c r="Y1865" s="1079"/>
      <c r="Z1865" s="1079"/>
      <c r="AA1865" s="1079"/>
      <c r="AB1865" s="1079"/>
      <c r="AC1865" s="1079"/>
      <c r="AD1865" s="1080"/>
    </row>
    <row r="1866" spans="1:30" x14ac:dyDescent="0.2">
      <c r="A1866">
        <f t="shared" si="62"/>
        <v>51</v>
      </c>
      <c r="B1866">
        <v>1857</v>
      </c>
      <c r="C1866" s="1078"/>
      <c r="D1866" s="1077"/>
      <c r="E1866" s="1077"/>
      <c r="F1866" s="1079"/>
      <c r="G1866" s="1079"/>
      <c r="H1866" s="1079"/>
      <c r="I1866" s="1079"/>
      <c r="J1866" s="1079"/>
      <c r="K1866" s="1079"/>
      <c r="L1866" s="1079"/>
      <c r="M1866" s="1079"/>
      <c r="N1866" s="1079"/>
      <c r="O1866" s="1079"/>
      <c r="P1866" s="1079"/>
      <c r="Q1866" s="1079"/>
      <c r="R1866" s="1079"/>
      <c r="S1866" s="1079"/>
      <c r="T1866" s="1079"/>
      <c r="U1866" s="1079"/>
      <c r="V1866" s="1079"/>
      <c r="W1866" s="1079"/>
      <c r="X1866" s="1079"/>
      <c r="Y1866" s="1079"/>
      <c r="Z1866" s="1079"/>
      <c r="AA1866" s="1079"/>
      <c r="AB1866" s="1079"/>
      <c r="AC1866" s="1079"/>
      <c r="AD1866" s="1080"/>
    </row>
    <row r="1867" spans="1:30" x14ac:dyDescent="0.2">
      <c r="A1867">
        <f t="shared" si="62"/>
        <v>51</v>
      </c>
      <c r="B1867">
        <v>1858</v>
      </c>
      <c r="C1867" s="1078"/>
      <c r="D1867" s="1077"/>
      <c r="E1867" s="1077"/>
      <c r="F1867" s="1079"/>
      <c r="G1867" s="1079"/>
      <c r="H1867" s="1079"/>
      <c r="I1867" s="1079"/>
      <c r="J1867" s="1079"/>
      <c r="K1867" s="1079"/>
      <c r="L1867" s="1079"/>
      <c r="M1867" s="1079"/>
      <c r="N1867" s="1079"/>
      <c r="O1867" s="1079"/>
      <c r="P1867" s="1079"/>
      <c r="Q1867" s="1079"/>
      <c r="R1867" s="1079"/>
      <c r="S1867" s="1079"/>
      <c r="T1867" s="1079"/>
      <c r="U1867" s="1079"/>
      <c r="V1867" s="1079"/>
      <c r="W1867" s="1079"/>
      <c r="X1867" s="1079"/>
      <c r="Y1867" s="1079"/>
      <c r="Z1867" s="1079"/>
      <c r="AA1867" s="1079"/>
      <c r="AB1867" s="1079"/>
      <c r="AC1867" s="1079"/>
      <c r="AD1867" s="1080"/>
    </row>
    <row r="1868" spans="1:30" x14ac:dyDescent="0.2">
      <c r="A1868">
        <f t="shared" ref="A1868:A1931" si="63">A1867+(D1868&lt;&gt;D1867)*1</f>
        <v>51</v>
      </c>
      <c r="B1868">
        <v>1859</v>
      </c>
      <c r="C1868" s="1078"/>
      <c r="D1868" s="1077"/>
      <c r="E1868" s="1077"/>
      <c r="F1868" s="1079"/>
      <c r="G1868" s="1079"/>
      <c r="H1868" s="1079"/>
      <c r="I1868" s="1079"/>
      <c r="J1868" s="1079"/>
      <c r="K1868" s="1079"/>
      <c r="L1868" s="1079"/>
      <c r="M1868" s="1079"/>
      <c r="N1868" s="1079"/>
      <c r="O1868" s="1079"/>
      <c r="P1868" s="1079"/>
      <c r="Q1868" s="1079"/>
      <c r="R1868" s="1079"/>
      <c r="S1868" s="1079"/>
      <c r="T1868" s="1079"/>
      <c r="U1868" s="1079"/>
      <c r="V1868" s="1079"/>
      <c r="W1868" s="1079"/>
      <c r="X1868" s="1079"/>
      <c r="Y1868" s="1079"/>
      <c r="Z1868" s="1079"/>
      <c r="AA1868" s="1079"/>
      <c r="AB1868" s="1079"/>
      <c r="AC1868" s="1079"/>
      <c r="AD1868" s="1080"/>
    </row>
    <row r="1869" spans="1:30" x14ac:dyDescent="0.2">
      <c r="A1869">
        <f t="shared" si="63"/>
        <v>51</v>
      </c>
      <c r="B1869">
        <v>1860</v>
      </c>
      <c r="C1869" s="1078"/>
      <c r="D1869" s="1077"/>
      <c r="E1869" s="1077"/>
      <c r="F1869" s="1079"/>
      <c r="G1869" s="1079"/>
      <c r="H1869" s="1079"/>
      <c r="I1869" s="1079"/>
      <c r="J1869" s="1079"/>
      <c r="K1869" s="1079"/>
      <c r="L1869" s="1079"/>
      <c r="M1869" s="1079"/>
      <c r="N1869" s="1079"/>
      <c r="O1869" s="1079"/>
      <c r="P1869" s="1079"/>
      <c r="Q1869" s="1079"/>
      <c r="R1869" s="1079"/>
      <c r="S1869" s="1079"/>
      <c r="T1869" s="1079"/>
      <c r="U1869" s="1079"/>
      <c r="V1869" s="1079"/>
      <c r="W1869" s="1079"/>
      <c r="X1869" s="1079"/>
      <c r="Y1869" s="1079"/>
      <c r="Z1869" s="1079"/>
      <c r="AA1869" s="1079"/>
      <c r="AB1869" s="1079"/>
      <c r="AC1869" s="1079"/>
      <c r="AD1869" s="1080"/>
    </row>
    <row r="1870" spans="1:30" x14ac:dyDescent="0.2">
      <c r="A1870">
        <f t="shared" si="63"/>
        <v>51</v>
      </c>
      <c r="B1870">
        <v>1861</v>
      </c>
      <c r="C1870" s="1078"/>
      <c r="D1870" s="1077"/>
      <c r="E1870" s="1077"/>
      <c r="F1870" s="1079"/>
      <c r="G1870" s="1079"/>
      <c r="H1870" s="1079"/>
      <c r="I1870" s="1079"/>
      <c r="J1870" s="1079"/>
      <c r="K1870" s="1079"/>
      <c r="L1870" s="1079"/>
      <c r="M1870" s="1079"/>
      <c r="N1870" s="1079"/>
      <c r="O1870" s="1079"/>
      <c r="P1870" s="1079"/>
      <c r="Q1870" s="1079"/>
      <c r="R1870" s="1079"/>
      <c r="S1870" s="1079"/>
      <c r="T1870" s="1079"/>
      <c r="U1870" s="1079"/>
      <c r="V1870" s="1079"/>
      <c r="W1870" s="1079"/>
      <c r="X1870" s="1079"/>
      <c r="Y1870" s="1079"/>
      <c r="Z1870" s="1079"/>
      <c r="AA1870" s="1079"/>
      <c r="AB1870" s="1079"/>
      <c r="AC1870" s="1079"/>
      <c r="AD1870" s="1080"/>
    </row>
    <row r="1871" spans="1:30" x14ac:dyDescent="0.2">
      <c r="A1871">
        <f t="shared" si="63"/>
        <v>51</v>
      </c>
      <c r="B1871">
        <v>1862</v>
      </c>
      <c r="C1871" s="1078"/>
      <c r="D1871" s="1077"/>
      <c r="E1871" s="1077"/>
      <c r="F1871" s="1079"/>
      <c r="G1871" s="1079"/>
      <c r="H1871" s="1079"/>
      <c r="I1871" s="1079"/>
      <c r="J1871" s="1079"/>
      <c r="K1871" s="1079"/>
      <c r="L1871" s="1079"/>
      <c r="M1871" s="1079"/>
      <c r="N1871" s="1079"/>
      <c r="O1871" s="1079"/>
      <c r="P1871" s="1079"/>
      <c r="Q1871" s="1079"/>
      <c r="R1871" s="1079"/>
      <c r="S1871" s="1079"/>
      <c r="T1871" s="1079"/>
      <c r="U1871" s="1079"/>
      <c r="V1871" s="1079"/>
      <c r="W1871" s="1079"/>
      <c r="X1871" s="1079"/>
      <c r="Y1871" s="1079"/>
      <c r="Z1871" s="1079"/>
      <c r="AA1871" s="1079"/>
      <c r="AB1871" s="1079"/>
      <c r="AC1871" s="1079"/>
      <c r="AD1871" s="1080"/>
    </row>
    <row r="1872" spans="1:30" x14ac:dyDescent="0.2">
      <c r="A1872">
        <f t="shared" si="63"/>
        <v>51</v>
      </c>
      <c r="B1872">
        <v>1863</v>
      </c>
      <c r="C1872" s="1078"/>
      <c r="D1872" s="1077"/>
      <c r="E1872" s="1077"/>
      <c r="F1872" s="1079"/>
      <c r="G1872" s="1079"/>
      <c r="H1872" s="1079"/>
      <c r="I1872" s="1079"/>
      <c r="J1872" s="1079"/>
      <c r="K1872" s="1079"/>
      <c r="L1872" s="1079"/>
      <c r="M1872" s="1079"/>
      <c r="N1872" s="1079"/>
      <c r="O1872" s="1079"/>
      <c r="P1872" s="1079"/>
      <c r="Q1872" s="1079"/>
      <c r="R1872" s="1079"/>
      <c r="S1872" s="1079"/>
      <c r="T1872" s="1079"/>
      <c r="U1872" s="1079"/>
      <c r="V1872" s="1079"/>
      <c r="W1872" s="1079"/>
      <c r="X1872" s="1079"/>
      <c r="Y1872" s="1079"/>
      <c r="Z1872" s="1079"/>
      <c r="AA1872" s="1079"/>
      <c r="AB1872" s="1079"/>
      <c r="AC1872" s="1079"/>
      <c r="AD1872" s="1080"/>
    </row>
    <row r="1873" spans="1:30" x14ac:dyDescent="0.2">
      <c r="A1873">
        <f t="shared" si="63"/>
        <v>51</v>
      </c>
      <c r="B1873">
        <v>1864</v>
      </c>
      <c r="C1873" s="1078"/>
      <c r="D1873" s="1077"/>
      <c r="E1873" s="1077"/>
      <c r="F1873" s="1079"/>
      <c r="G1873" s="1079"/>
      <c r="H1873" s="1079"/>
      <c r="I1873" s="1079"/>
      <c r="J1873" s="1079"/>
      <c r="K1873" s="1079"/>
      <c r="L1873" s="1079"/>
      <c r="M1873" s="1079"/>
      <c r="N1873" s="1079"/>
      <c r="O1873" s="1079"/>
      <c r="P1873" s="1079"/>
      <c r="Q1873" s="1079"/>
      <c r="R1873" s="1079"/>
      <c r="S1873" s="1079"/>
      <c r="T1873" s="1079"/>
      <c r="U1873" s="1079"/>
      <c r="V1873" s="1079"/>
      <c r="W1873" s="1079"/>
      <c r="X1873" s="1079"/>
      <c r="Y1873" s="1079"/>
      <c r="Z1873" s="1079"/>
      <c r="AA1873" s="1079"/>
      <c r="AB1873" s="1079"/>
      <c r="AC1873" s="1079"/>
      <c r="AD1873" s="1080"/>
    </row>
    <row r="1874" spans="1:30" x14ac:dyDescent="0.2">
      <c r="A1874">
        <f t="shared" si="63"/>
        <v>51</v>
      </c>
      <c r="B1874">
        <v>1865</v>
      </c>
      <c r="C1874" s="1078"/>
      <c r="D1874" s="1077"/>
      <c r="E1874" s="1077"/>
      <c r="F1874" s="1079"/>
      <c r="G1874" s="1079"/>
      <c r="H1874" s="1079"/>
      <c r="I1874" s="1079"/>
      <c r="J1874" s="1079"/>
      <c r="K1874" s="1079"/>
      <c r="L1874" s="1079"/>
      <c r="M1874" s="1079"/>
      <c r="N1874" s="1079"/>
      <c r="O1874" s="1079"/>
      <c r="P1874" s="1079"/>
      <c r="Q1874" s="1079"/>
      <c r="R1874" s="1079"/>
      <c r="S1874" s="1079"/>
      <c r="T1874" s="1079"/>
      <c r="U1874" s="1079"/>
      <c r="V1874" s="1079"/>
      <c r="W1874" s="1079"/>
      <c r="X1874" s="1079"/>
      <c r="Y1874" s="1079"/>
      <c r="Z1874" s="1079"/>
      <c r="AA1874" s="1079"/>
      <c r="AB1874" s="1079"/>
      <c r="AC1874" s="1079"/>
      <c r="AD1874" s="1080"/>
    </row>
    <row r="1875" spans="1:30" x14ac:dyDescent="0.2">
      <c r="A1875">
        <f t="shared" si="63"/>
        <v>51</v>
      </c>
      <c r="B1875">
        <v>1866</v>
      </c>
      <c r="C1875" s="1078"/>
      <c r="D1875" s="1077"/>
      <c r="E1875" s="1077"/>
      <c r="F1875" s="1079"/>
      <c r="G1875" s="1079"/>
      <c r="H1875" s="1079"/>
      <c r="I1875" s="1079"/>
      <c r="J1875" s="1079"/>
      <c r="K1875" s="1079"/>
      <c r="L1875" s="1079"/>
      <c r="M1875" s="1079"/>
      <c r="N1875" s="1079"/>
      <c r="O1875" s="1079"/>
      <c r="P1875" s="1079"/>
      <c r="Q1875" s="1079"/>
      <c r="R1875" s="1079"/>
      <c r="S1875" s="1079"/>
      <c r="T1875" s="1079"/>
      <c r="U1875" s="1079"/>
      <c r="V1875" s="1079"/>
      <c r="W1875" s="1079"/>
      <c r="X1875" s="1079"/>
      <c r="Y1875" s="1079"/>
      <c r="Z1875" s="1079"/>
      <c r="AA1875" s="1079"/>
      <c r="AB1875" s="1079"/>
      <c r="AC1875" s="1079"/>
      <c r="AD1875" s="1080"/>
    </row>
    <row r="1876" spans="1:30" x14ac:dyDescent="0.2">
      <c r="A1876">
        <f t="shared" si="63"/>
        <v>51</v>
      </c>
      <c r="B1876">
        <v>1867</v>
      </c>
      <c r="C1876" s="1078"/>
      <c r="D1876" s="1077"/>
      <c r="E1876" s="1077"/>
      <c r="F1876" s="1079"/>
      <c r="G1876" s="1079"/>
      <c r="H1876" s="1079"/>
      <c r="I1876" s="1079"/>
      <c r="J1876" s="1079"/>
      <c r="K1876" s="1079"/>
      <c r="L1876" s="1079"/>
      <c r="M1876" s="1079"/>
      <c r="N1876" s="1079"/>
      <c r="O1876" s="1079"/>
      <c r="P1876" s="1079"/>
      <c r="Q1876" s="1079"/>
      <c r="R1876" s="1079"/>
      <c r="S1876" s="1079"/>
      <c r="T1876" s="1079"/>
      <c r="U1876" s="1079"/>
      <c r="V1876" s="1079"/>
      <c r="W1876" s="1079"/>
      <c r="X1876" s="1079"/>
      <c r="Y1876" s="1079"/>
      <c r="Z1876" s="1079"/>
      <c r="AA1876" s="1079"/>
      <c r="AB1876" s="1079"/>
      <c r="AC1876" s="1079"/>
      <c r="AD1876" s="1080"/>
    </row>
    <row r="1877" spans="1:30" x14ac:dyDescent="0.2">
      <c r="A1877">
        <f t="shared" si="63"/>
        <v>51</v>
      </c>
      <c r="B1877">
        <v>1868</v>
      </c>
      <c r="C1877" s="1078"/>
      <c r="D1877" s="1077"/>
      <c r="E1877" s="1077"/>
      <c r="F1877" s="1079"/>
      <c r="G1877" s="1079"/>
      <c r="H1877" s="1079"/>
      <c r="I1877" s="1079"/>
      <c r="J1877" s="1079"/>
      <c r="K1877" s="1079"/>
      <c r="L1877" s="1079"/>
      <c r="M1877" s="1079"/>
      <c r="N1877" s="1079"/>
      <c r="O1877" s="1079"/>
      <c r="P1877" s="1079"/>
      <c r="Q1877" s="1079"/>
      <c r="R1877" s="1079"/>
      <c r="S1877" s="1079"/>
      <c r="T1877" s="1079"/>
      <c r="U1877" s="1079"/>
      <c r="V1877" s="1079"/>
      <c r="W1877" s="1079"/>
      <c r="X1877" s="1079"/>
      <c r="Y1877" s="1079"/>
      <c r="Z1877" s="1079"/>
      <c r="AA1877" s="1079"/>
      <c r="AB1877" s="1079"/>
      <c r="AC1877" s="1079"/>
      <c r="AD1877" s="1080"/>
    </row>
    <row r="1878" spans="1:30" x14ac:dyDescent="0.2">
      <c r="A1878">
        <f t="shared" si="63"/>
        <v>51</v>
      </c>
      <c r="B1878">
        <v>1869</v>
      </c>
      <c r="C1878" s="1078"/>
      <c r="D1878" s="1077"/>
      <c r="E1878" s="1077"/>
      <c r="F1878" s="1079"/>
      <c r="G1878" s="1079"/>
      <c r="H1878" s="1079"/>
      <c r="I1878" s="1079"/>
      <c r="J1878" s="1079"/>
      <c r="K1878" s="1079"/>
      <c r="L1878" s="1079"/>
      <c r="M1878" s="1079"/>
      <c r="N1878" s="1079"/>
      <c r="O1878" s="1079"/>
      <c r="P1878" s="1079"/>
      <c r="Q1878" s="1079"/>
      <c r="R1878" s="1079"/>
      <c r="S1878" s="1079"/>
      <c r="T1878" s="1079"/>
      <c r="U1878" s="1079"/>
      <c r="V1878" s="1079"/>
      <c r="W1878" s="1079"/>
      <c r="X1878" s="1079"/>
      <c r="Y1878" s="1079"/>
      <c r="Z1878" s="1079"/>
      <c r="AA1878" s="1079"/>
      <c r="AB1878" s="1079"/>
      <c r="AC1878" s="1079"/>
      <c r="AD1878" s="1080"/>
    </row>
    <row r="1879" spans="1:30" x14ac:dyDescent="0.2">
      <c r="A1879">
        <f t="shared" si="63"/>
        <v>51</v>
      </c>
      <c r="B1879">
        <v>1870</v>
      </c>
      <c r="C1879" s="1078"/>
      <c r="D1879" s="1077"/>
      <c r="E1879" s="1077"/>
      <c r="F1879" s="1079"/>
      <c r="G1879" s="1079"/>
      <c r="H1879" s="1079"/>
      <c r="I1879" s="1079"/>
      <c r="J1879" s="1079"/>
      <c r="K1879" s="1079"/>
      <c r="L1879" s="1079"/>
      <c r="M1879" s="1079"/>
      <c r="N1879" s="1079"/>
      <c r="O1879" s="1079"/>
      <c r="P1879" s="1079"/>
      <c r="Q1879" s="1079"/>
      <c r="R1879" s="1079"/>
      <c r="S1879" s="1079"/>
      <c r="T1879" s="1079"/>
      <c r="U1879" s="1079"/>
      <c r="V1879" s="1079"/>
      <c r="W1879" s="1079"/>
      <c r="X1879" s="1079"/>
      <c r="Y1879" s="1079"/>
      <c r="Z1879" s="1079"/>
      <c r="AA1879" s="1079"/>
      <c r="AB1879" s="1079"/>
      <c r="AC1879" s="1079"/>
      <c r="AD1879" s="1080"/>
    </row>
    <row r="1880" spans="1:30" x14ac:dyDescent="0.2">
      <c r="A1880">
        <f t="shared" si="63"/>
        <v>51</v>
      </c>
      <c r="B1880">
        <v>1871</v>
      </c>
      <c r="C1880" s="1078"/>
      <c r="D1880" s="1077"/>
      <c r="E1880" s="1077"/>
      <c r="F1880" s="1079"/>
      <c r="G1880" s="1079"/>
      <c r="H1880" s="1079"/>
      <c r="I1880" s="1079"/>
      <c r="J1880" s="1079"/>
      <c r="K1880" s="1079"/>
      <c r="L1880" s="1079"/>
      <c r="M1880" s="1079"/>
      <c r="N1880" s="1079"/>
      <c r="O1880" s="1079"/>
      <c r="P1880" s="1079"/>
      <c r="Q1880" s="1079"/>
      <c r="R1880" s="1079"/>
      <c r="S1880" s="1079"/>
      <c r="T1880" s="1079"/>
      <c r="U1880" s="1079"/>
      <c r="V1880" s="1079"/>
      <c r="W1880" s="1079"/>
      <c r="X1880" s="1079"/>
      <c r="Y1880" s="1079"/>
      <c r="Z1880" s="1079"/>
      <c r="AA1880" s="1079"/>
      <c r="AB1880" s="1079"/>
      <c r="AC1880" s="1079"/>
      <c r="AD1880" s="1080"/>
    </row>
    <row r="1881" spans="1:30" x14ac:dyDescent="0.2">
      <c r="A1881">
        <f t="shared" si="63"/>
        <v>51</v>
      </c>
      <c r="B1881">
        <v>1872</v>
      </c>
      <c r="C1881" s="1078"/>
      <c r="D1881" s="1077"/>
      <c r="E1881" s="1077"/>
      <c r="F1881" s="1079"/>
      <c r="G1881" s="1079"/>
      <c r="H1881" s="1079"/>
      <c r="I1881" s="1079"/>
      <c r="J1881" s="1079"/>
      <c r="K1881" s="1079"/>
      <c r="L1881" s="1079"/>
      <c r="M1881" s="1079"/>
      <c r="N1881" s="1079"/>
      <c r="O1881" s="1079"/>
      <c r="P1881" s="1079"/>
      <c r="Q1881" s="1079"/>
      <c r="R1881" s="1079"/>
      <c r="S1881" s="1079"/>
      <c r="T1881" s="1079"/>
      <c r="U1881" s="1079"/>
      <c r="V1881" s="1079"/>
      <c r="W1881" s="1079"/>
      <c r="X1881" s="1079"/>
      <c r="Y1881" s="1079"/>
      <c r="Z1881" s="1079"/>
      <c r="AA1881" s="1079"/>
      <c r="AB1881" s="1079"/>
      <c r="AC1881" s="1079"/>
      <c r="AD1881" s="1080"/>
    </row>
    <row r="1882" spans="1:30" x14ac:dyDescent="0.2">
      <c r="A1882">
        <f t="shared" si="63"/>
        <v>51</v>
      </c>
      <c r="B1882">
        <v>1873</v>
      </c>
      <c r="C1882" s="1078"/>
      <c r="D1882" s="1077"/>
      <c r="E1882" s="1077"/>
      <c r="F1882" s="1079"/>
      <c r="G1882" s="1079"/>
      <c r="H1882" s="1079"/>
      <c r="I1882" s="1079"/>
      <c r="J1882" s="1079"/>
      <c r="K1882" s="1079"/>
      <c r="L1882" s="1079"/>
      <c r="M1882" s="1079"/>
      <c r="N1882" s="1079"/>
      <c r="O1882" s="1079"/>
      <c r="P1882" s="1079"/>
      <c r="Q1882" s="1079"/>
      <c r="R1882" s="1079"/>
      <c r="S1882" s="1079"/>
      <c r="T1882" s="1079"/>
      <c r="U1882" s="1079"/>
      <c r="V1882" s="1079"/>
      <c r="W1882" s="1079"/>
      <c r="X1882" s="1079"/>
      <c r="Y1882" s="1079"/>
      <c r="Z1882" s="1079"/>
      <c r="AA1882" s="1079"/>
      <c r="AB1882" s="1079"/>
      <c r="AC1882" s="1079"/>
      <c r="AD1882" s="1080"/>
    </row>
    <row r="1883" spans="1:30" x14ac:dyDescent="0.2">
      <c r="A1883">
        <f t="shared" si="63"/>
        <v>51</v>
      </c>
      <c r="B1883">
        <v>1874</v>
      </c>
      <c r="C1883" s="1078"/>
      <c r="D1883" s="1077"/>
      <c r="E1883" s="1077"/>
      <c r="F1883" s="1079"/>
      <c r="G1883" s="1079"/>
      <c r="H1883" s="1079"/>
      <c r="I1883" s="1079"/>
      <c r="J1883" s="1079"/>
      <c r="K1883" s="1079"/>
      <c r="L1883" s="1079"/>
      <c r="M1883" s="1079"/>
      <c r="N1883" s="1079"/>
      <c r="O1883" s="1079"/>
      <c r="P1883" s="1079"/>
      <c r="Q1883" s="1079"/>
      <c r="R1883" s="1079"/>
      <c r="S1883" s="1079"/>
      <c r="T1883" s="1079"/>
      <c r="U1883" s="1079"/>
      <c r="V1883" s="1079"/>
      <c r="W1883" s="1079"/>
      <c r="X1883" s="1079"/>
      <c r="Y1883" s="1079"/>
      <c r="Z1883" s="1079"/>
      <c r="AA1883" s="1079"/>
      <c r="AB1883" s="1079"/>
      <c r="AC1883" s="1079"/>
      <c r="AD1883" s="1080"/>
    </row>
    <row r="1884" spans="1:30" x14ac:dyDescent="0.2">
      <c r="A1884">
        <f t="shared" si="63"/>
        <v>51</v>
      </c>
      <c r="B1884">
        <v>1875</v>
      </c>
      <c r="C1884" s="1078"/>
      <c r="D1884" s="1077"/>
      <c r="E1884" s="1077"/>
      <c r="F1884" s="1079"/>
      <c r="G1884" s="1079"/>
      <c r="H1884" s="1079"/>
      <c r="I1884" s="1079"/>
      <c r="J1884" s="1079"/>
      <c r="K1884" s="1079"/>
      <c r="L1884" s="1079"/>
      <c r="M1884" s="1079"/>
      <c r="N1884" s="1079"/>
      <c r="O1884" s="1079"/>
      <c r="P1884" s="1079"/>
      <c r="Q1884" s="1079"/>
      <c r="R1884" s="1079"/>
      <c r="S1884" s="1079"/>
      <c r="T1884" s="1079"/>
      <c r="U1884" s="1079"/>
      <c r="V1884" s="1079"/>
      <c r="W1884" s="1079"/>
      <c r="X1884" s="1079"/>
      <c r="Y1884" s="1079"/>
      <c r="Z1884" s="1079"/>
      <c r="AA1884" s="1079"/>
      <c r="AB1884" s="1079"/>
      <c r="AC1884" s="1079"/>
      <c r="AD1884" s="1080"/>
    </row>
    <row r="1885" spans="1:30" x14ac:dyDescent="0.2">
      <c r="A1885">
        <f t="shared" si="63"/>
        <v>51</v>
      </c>
      <c r="B1885">
        <v>1876</v>
      </c>
      <c r="C1885" s="1078"/>
      <c r="D1885" s="1077"/>
      <c r="E1885" s="1077"/>
      <c r="F1885" s="1079"/>
      <c r="G1885" s="1079"/>
      <c r="H1885" s="1079"/>
      <c r="I1885" s="1079"/>
      <c r="J1885" s="1079"/>
      <c r="K1885" s="1079"/>
      <c r="L1885" s="1079"/>
      <c r="M1885" s="1079"/>
      <c r="N1885" s="1079"/>
      <c r="O1885" s="1079"/>
      <c r="P1885" s="1079"/>
      <c r="Q1885" s="1079"/>
      <c r="R1885" s="1079"/>
      <c r="S1885" s="1079"/>
      <c r="T1885" s="1079"/>
      <c r="U1885" s="1079"/>
      <c r="V1885" s="1079"/>
      <c r="W1885" s="1079"/>
      <c r="X1885" s="1079"/>
      <c r="Y1885" s="1079"/>
      <c r="Z1885" s="1079"/>
      <c r="AA1885" s="1079"/>
      <c r="AB1885" s="1079"/>
      <c r="AC1885" s="1079"/>
      <c r="AD1885" s="1080"/>
    </row>
    <row r="1886" spans="1:30" x14ac:dyDescent="0.2">
      <c r="A1886">
        <f t="shared" si="63"/>
        <v>51</v>
      </c>
      <c r="B1886">
        <v>1877</v>
      </c>
      <c r="C1886" s="1078"/>
      <c r="D1886" s="1077"/>
      <c r="E1886" s="1077"/>
      <c r="F1886" s="1079"/>
      <c r="G1886" s="1079"/>
      <c r="H1886" s="1079"/>
      <c r="I1886" s="1079"/>
      <c r="J1886" s="1079"/>
      <c r="K1886" s="1079"/>
      <c r="L1886" s="1079"/>
      <c r="M1886" s="1079"/>
      <c r="N1886" s="1079"/>
      <c r="O1886" s="1079"/>
      <c r="P1886" s="1079"/>
      <c r="Q1886" s="1079"/>
      <c r="R1886" s="1079"/>
      <c r="S1886" s="1079"/>
      <c r="T1886" s="1079"/>
      <c r="U1886" s="1079"/>
      <c r="V1886" s="1079"/>
      <c r="W1886" s="1079"/>
      <c r="X1886" s="1079"/>
      <c r="Y1886" s="1079"/>
      <c r="Z1886" s="1079"/>
      <c r="AA1886" s="1079"/>
      <c r="AB1886" s="1079"/>
      <c r="AC1886" s="1079"/>
      <c r="AD1886" s="1080"/>
    </row>
    <row r="1887" spans="1:30" x14ac:dyDescent="0.2">
      <c r="A1887">
        <f t="shared" si="63"/>
        <v>51</v>
      </c>
      <c r="B1887">
        <v>1878</v>
      </c>
      <c r="C1887" s="1078"/>
      <c r="D1887" s="1077"/>
      <c r="E1887" s="1077"/>
      <c r="F1887" s="1079"/>
      <c r="G1887" s="1079"/>
      <c r="H1887" s="1079"/>
      <c r="I1887" s="1079"/>
      <c r="J1887" s="1079"/>
      <c r="K1887" s="1079"/>
      <c r="L1887" s="1079"/>
      <c r="M1887" s="1079"/>
      <c r="N1887" s="1079"/>
      <c r="O1887" s="1079"/>
      <c r="P1887" s="1079"/>
      <c r="Q1887" s="1079"/>
      <c r="R1887" s="1079"/>
      <c r="S1887" s="1079"/>
      <c r="T1887" s="1079"/>
      <c r="U1887" s="1079"/>
      <c r="V1887" s="1079"/>
      <c r="W1887" s="1079"/>
      <c r="X1887" s="1079"/>
      <c r="Y1887" s="1079"/>
      <c r="Z1887" s="1079"/>
      <c r="AA1887" s="1079"/>
      <c r="AB1887" s="1079"/>
      <c r="AC1887" s="1079"/>
      <c r="AD1887" s="1080"/>
    </row>
    <row r="1888" spans="1:30" x14ac:dyDescent="0.2">
      <c r="A1888">
        <f t="shared" si="63"/>
        <v>51</v>
      </c>
      <c r="B1888">
        <v>1879</v>
      </c>
      <c r="C1888" s="1078"/>
      <c r="D1888" s="1077"/>
      <c r="E1888" s="1077"/>
      <c r="F1888" s="1079"/>
      <c r="G1888" s="1079"/>
      <c r="H1888" s="1079"/>
      <c r="I1888" s="1079"/>
      <c r="J1888" s="1079"/>
      <c r="K1888" s="1079"/>
      <c r="L1888" s="1079"/>
      <c r="M1888" s="1079"/>
      <c r="N1888" s="1079"/>
      <c r="O1888" s="1079"/>
      <c r="P1888" s="1079"/>
      <c r="Q1888" s="1079"/>
      <c r="R1888" s="1079"/>
      <c r="S1888" s="1079"/>
      <c r="T1888" s="1079"/>
      <c r="U1888" s="1079"/>
      <c r="V1888" s="1079"/>
      <c r="W1888" s="1079"/>
      <c r="X1888" s="1079"/>
      <c r="Y1888" s="1079"/>
      <c r="Z1888" s="1079"/>
      <c r="AA1888" s="1079"/>
      <c r="AB1888" s="1079"/>
      <c r="AC1888" s="1079"/>
      <c r="AD1888" s="1080"/>
    </row>
    <row r="1889" spans="1:30" x14ac:dyDescent="0.2">
      <c r="A1889">
        <f t="shared" si="63"/>
        <v>51</v>
      </c>
      <c r="B1889">
        <v>1880</v>
      </c>
      <c r="C1889" s="1078"/>
      <c r="D1889" s="1077"/>
      <c r="E1889" s="1077"/>
      <c r="F1889" s="1079"/>
      <c r="G1889" s="1079"/>
      <c r="H1889" s="1079"/>
      <c r="I1889" s="1079"/>
      <c r="J1889" s="1079"/>
      <c r="K1889" s="1079"/>
      <c r="L1889" s="1079"/>
      <c r="M1889" s="1079"/>
      <c r="N1889" s="1079"/>
      <c r="O1889" s="1079"/>
      <c r="P1889" s="1079"/>
      <c r="Q1889" s="1079"/>
      <c r="R1889" s="1079"/>
      <c r="S1889" s="1079"/>
      <c r="T1889" s="1079"/>
      <c r="U1889" s="1079"/>
      <c r="V1889" s="1079"/>
      <c r="W1889" s="1079"/>
      <c r="X1889" s="1079"/>
      <c r="Y1889" s="1079"/>
      <c r="Z1889" s="1079"/>
      <c r="AA1889" s="1079"/>
      <c r="AB1889" s="1079"/>
      <c r="AC1889" s="1079"/>
      <c r="AD1889" s="1080"/>
    </row>
    <row r="1890" spans="1:30" x14ac:dyDescent="0.2">
      <c r="A1890">
        <f t="shared" si="63"/>
        <v>51</v>
      </c>
      <c r="B1890">
        <v>1881</v>
      </c>
      <c r="C1890" s="1078"/>
      <c r="D1890" s="1077"/>
      <c r="E1890" s="1077"/>
      <c r="F1890" s="1079"/>
      <c r="G1890" s="1079"/>
      <c r="H1890" s="1079"/>
      <c r="I1890" s="1079"/>
      <c r="J1890" s="1079"/>
      <c r="K1890" s="1079"/>
      <c r="L1890" s="1079"/>
      <c r="M1890" s="1079"/>
      <c r="N1890" s="1079"/>
      <c r="O1890" s="1079"/>
      <c r="P1890" s="1079"/>
      <c r="Q1890" s="1079"/>
      <c r="R1890" s="1079"/>
      <c r="S1890" s="1079"/>
      <c r="T1890" s="1079"/>
      <c r="U1890" s="1079"/>
      <c r="V1890" s="1079"/>
      <c r="W1890" s="1079"/>
      <c r="X1890" s="1079"/>
      <c r="Y1890" s="1079"/>
      <c r="Z1890" s="1079"/>
      <c r="AA1890" s="1079"/>
      <c r="AB1890" s="1079"/>
      <c r="AC1890" s="1079"/>
      <c r="AD1890" s="1080"/>
    </row>
    <row r="1891" spans="1:30" x14ac:dyDescent="0.2">
      <c r="A1891">
        <f t="shared" si="63"/>
        <v>51</v>
      </c>
      <c r="B1891">
        <v>1882</v>
      </c>
      <c r="C1891" s="1078"/>
      <c r="D1891" s="1077"/>
      <c r="E1891" s="1077"/>
      <c r="F1891" s="1079"/>
      <c r="G1891" s="1079"/>
      <c r="H1891" s="1079"/>
      <c r="I1891" s="1079"/>
      <c r="J1891" s="1079"/>
      <c r="K1891" s="1079"/>
      <c r="L1891" s="1079"/>
      <c r="M1891" s="1079"/>
      <c r="N1891" s="1079"/>
      <c r="O1891" s="1079"/>
      <c r="P1891" s="1079"/>
      <c r="Q1891" s="1079"/>
      <c r="R1891" s="1079"/>
      <c r="S1891" s="1079"/>
      <c r="T1891" s="1079"/>
      <c r="U1891" s="1079"/>
      <c r="V1891" s="1079"/>
      <c r="W1891" s="1079"/>
      <c r="X1891" s="1079"/>
      <c r="Y1891" s="1079"/>
      <c r="Z1891" s="1079"/>
      <c r="AA1891" s="1079"/>
      <c r="AB1891" s="1079"/>
      <c r="AC1891" s="1079"/>
      <c r="AD1891" s="1080"/>
    </row>
    <row r="1892" spans="1:30" x14ac:dyDescent="0.2">
      <c r="A1892">
        <f t="shared" si="63"/>
        <v>51</v>
      </c>
      <c r="B1892">
        <v>1883</v>
      </c>
      <c r="C1892" s="1078"/>
      <c r="D1892" s="1077"/>
      <c r="E1892" s="1077"/>
      <c r="F1892" s="1079"/>
      <c r="G1892" s="1079"/>
      <c r="H1892" s="1079"/>
      <c r="I1892" s="1079"/>
      <c r="J1892" s="1079"/>
      <c r="K1892" s="1079"/>
      <c r="L1892" s="1079"/>
      <c r="M1892" s="1079"/>
      <c r="N1892" s="1079"/>
      <c r="O1892" s="1079"/>
      <c r="P1892" s="1079"/>
      <c r="Q1892" s="1079"/>
      <c r="R1892" s="1079"/>
      <c r="S1892" s="1079"/>
      <c r="T1892" s="1079"/>
      <c r="U1892" s="1079"/>
      <c r="V1892" s="1079"/>
      <c r="W1892" s="1079"/>
      <c r="X1892" s="1079"/>
      <c r="Y1892" s="1079"/>
      <c r="Z1892" s="1079"/>
      <c r="AA1892" s="1079"/>
      <c r="AB1892" s="1079"/>
      <c r="AC1892" s="1079"/>
      <c r="AD1892" s="1080"/>
    </row>
    <row r="1893" spans="1:30" x14ac:dyDescent="0.2">
      <c r="A1893">
        <f t="shared" si="63"/>
        <v>51</v>
      </c>
      <c r="B1893">
        <v>1884</v>
      </c>
      <c r="C1893" s="1078"/>
      <c r="D1893" s="1077"/>
      <c r="E1893" s="1077"/>
      <c r="F1893" s="1079"/>
      <c r="G1893" s="1079"/>
      <c r="H1893" s="1079"/>
      <c r="I1893" s="1079"/>
      <c r="J1893" s="1079"/>
      <c r="K1893" s="1079"/>
      <c r="L1893" s="1079"/>
      <c r="M1893" s="1079"/>
      <c r="N1893" s="1079"/>
      <c r="O1893" s="1079"/>
      <c r="P1893" s="1079"/>
      <c r="Q1893" s="1079"/>
      <c r="R1893" s="1079"/>
      <c r="S1893" s="1079"/>
      <c r="T1893" s="1079"/>
      <c r="U1893" s="1079"/>
      <c r="V1893" s="1079"/>
      <c r="W1893" s="1079"/>
      <c r="X1893" s="1079"/>
      <c r="Y1893" s="1079"/>
      <c r="Z1893" s="1079"/>
      <c r="AA1893" s="1079"/>
      <c r="AB1893" s="1079"/>
      <c r="AC1893" s="1079"/>
      <c r="AD1893" s="1080"/>
    </row>
    <row r="1894" spans="1:30" x14ac:dyDescent="0.2">
      <c r="A1894">
        <f t="shared" si="63"/>
        <v>51</v>
      </c>
      <c r="B1894">
        <v>1885</v>
      </c>
      <c r="C1894" s="1078"/>
      <c r="D1894" s="1077"/>
      <c r="E1894" s="1077"/>
      <c r="F1894" s="1079"/>
      <c r="G1894" s="1079"/>
      <c r="H1894" s="1079"/>
      <c r="I1894" s="1079"/>
      <c r="J1894" s="1079"/>
      <c r="K1894" s="1079"/>
      <c r="L1894" s="1079"/>
      <c r="M1894" s="1079"/>
      <c r="N1894" s="1079"/>
      <c r="O1894" s="1079"/>
      <c r="P1894" s="1079"/>
      <c r="Q1894" s="1079"/>
      <c r="R1894" s="1079"/>
      <c r="S1894" s="1079"/>
      <c r="T1894" s="1079"/>
      <c r="U1894" s="1079"/>
      <c r="V1894" s="1079"/>
      <c r="W1894" s="1079"/>
      <c r="X1894" s="1079"/>
      <c r="Y1894" s="1079"/>
      <c r="Z1894" s="1079"/>
      <c r="AA1894" s="1079"/>
      <c r="AB1894" s="1079"/>
      <c r="AC1894" s="1079"/>
      <c r="AD1894" s="1080"/>
    </row>
    <row r="1895" spans="1:30" x14ac:dyDescent="0.2">
      <c r="A1895">
        <f t="shared" si="63"/>
        <v>51</v>
      </c>
      <c r="B1895">
        <v>1886</v>
      </c>
      <c r="C1895" s="1078"/>
      <c r="D1895" s="1077"/>
      <c r="E1895" s="1077"/>
      <c r="F1895" s="1079"/>
      <c r="G1895" s="1079"/>
      <c r="H1895" s="1079"/>
      <c r="I1895" s="1079"/>
      <c r="J1895" s="1079"/>
      <c r="K1895" s="1079"/>
      <c r="L1895" s="1079"/>
      <c r="M1895" s="1079"/>
      <c r="N1895" s="1079"/>
      <c r="O1895" s="1079"/>
      <c r="P1895" s="1079"/>
      <c r="Q1895" s="1079"/>
      <c r="R1895" s="1079"/>
      <c r="S1895" s="1079"/>
      <c r="T1895" s="1079"/>
      <c r="U1895" s="1079"/>
      <c r="V1895" s="1079"/>
      <c r="W1895" s="1079"/>
      <c r="X1895" s="1079"/>
      <c r="Y1895" s="1079"/>
      <c r="Z1895" s="1079"/>
      <c r="AA1895" s="1079"/>
      <c r="AB1895" s="1079"/>
      <c r="AC1895" s="1079"/>
      <c r="AD1895" s="1080"/>
    </row>
    <row r="1896" spans="1:30" x14ac:dyDescent="0.2">
      <c r="A1896">
        <f t="shared" si="63"/>
        <v>51</v>
      </c>
      <c r="B1896">
        <v>1887</v>
      </c>
      <c r="C1896" s="1078"/>
      <c r="D1896" s="1077"/>
      <c r="E1896" s="1077"/>
      <c r="F1896" s="1079"/>
      <c r="G1896" s="1079"/>
      <c r="H1896" s="1079"/>
      <c r="I1896" s="1079"/>
      <c r="J1896" s="1079"/>
      <c r="K1896" s="1079"/>
      <c r="L1896" s="1079"/>
      <c r="M1896" s="1079"/>
      <c r="N1896" s="1079"/>
      <c r="O1896" s="1079"/>
      <c r="P1896" s="1079"/>
      <c r="Q1896" s="1079"/>
      <c r="R1896" s="1079"/>
      <c r="S1896" s="1079"/>
      <c r="T1896" s="1079"/>
      <c r="U1896" s="1079"/>
      <c r="V1896" s="1079"/>
      <c r="W1896" s="1079"/>
      <c r="X1896" s="1079"/>
      <c r="Y1896" s="1079"/>
      <c r="Z1896" s="1079"/>
      <c r="AA1896" s="1079"/>
      <c r="AB1896" s="1079"/>
      <c r="AC1896" s="1079"/>
      <c r="AD1896" s="1080"/>
    </row>
    <row r="1897" spans="1:30" x14ac:dyDescent="0.2">
      <c r="A1897">
        <f t="shared" si="63"/>
        <v>51</v>
      </c>
      <c r="B1897">
        <v>1888</v>
      </c>
      <c r="C1897" s="1078"/>
      <c r="D1897" s="1077"/>
      <c r="E1897" s="1077"/>
      <c r="F1897" s="1079"/>
      <c r="G1897" s="1079"/>
      <c r="H1897" s="1079"/>
      <c r="I1897" s="1079"/>
      <c r="J1897" s="1079"/>
      <c r="K1897" s="1079"/>
      <c r="L1897" s="1079"/>
      <c r="M1897" s="1079"/>
      <c r="N1897" s="1079"/>
      <c r="O1897" s="1079"/>
      <c r="P1897" s="1079"/>
      <c r="Q1897" s="1079"/>
      <c r="R1897" s="1079"/>
      <c r="S1897" s="1079"/>
      <c r="T1897" s="1079"/>
      <c r="U1897" s="1079"/>
      <c r="V1897" s="1079"/>
      <c r="W1897" s="1079"/>
      <c r="X1897" s="1079"/>
      <c r="Y1897" s="1079"/>
      <c r="Z1897" s="1079"/>
      <c r="AA1897" s="1079"/>
      <c r="AB1897" s="1079"/>
      <c r="AC1897" s="1079"/>
      <c r="AD1897" s="1080"/>
    </row>
    <row r="1898" spans="1:30" x14ac:dyDescent="0.2">
      <c r="A1898">
        <f t="shared" si="63"/>
        <v>51</v>
      </c>
      <c r="B1898">
        <v>1889</v>
      </c>
      <c r="C1898" s="1078"/>
      <c r="D1898" s="1077"/>
      <c r="E1898" s="1077"/>
      <c r="F1898" s="1079"/>
      <c r="G1898" s="1079"/>
      <c r="H1898" s="1079"/>
      <c r="I1898" s="1079"/>
      <c r="J1898" s="1079"/>
      <c r="K1898" s="1079"/>
      <c r="L1898" s="1079"/>
      <c r="M1898" s="1079"/>
      <c r="N1898" s="1079"/>
      <c r="O1898" s="1079"/>
      <c r="P1898" s="1079"/>
      <c r="Q1898" s="1079"/>
      <c r="R1898" s="1079"/>
      <c r="S1898" s="1079"/>
      <c r="T1898" s="1079"/>
      <c r="U1898" s="1079"/>
      <c r="V1898" s="1079"/>
      <c r="W1898" s="1079"/>
      <c r="X1898" s="1079"/>
      <c r="Y1898" s="1079"/>
      <c r="Z1898" s="1079"/>
      <c r="AA1898" s="1079"/>
      <c r="AB1898" s="1079"/>
      <c r="AC1898" s="1079"/>
      <c r="AD1898" s="1080"/>
    </row>
    <row r="1899" spans="1:30" x14ac:dyDescent="0.2">
      <c r="A1899">
        <f t="shared" si="63"/>
        <v>51</v>
      </c>
      <c r="B1899">
        <v>1890</v>
      </c>
      <c r="C1899" s="1078"/>
      <c r="D1899" s="1077"/>
      <c r="E1899" s="1077"/>
      <c r="F1899" s="1079"/>
      <c r="G1899" s="1079"/>
      <c r="H1899" s="1079"/>
      <c r="I1899" s="1079"/>
      <c r="J1899" s="1079"/>
      <c r="K1899" s="1079"/>
      <c r="L1899" s="1079"/>
      <c r="M1899" s="1079"/>
      <c r="N1899" s="1079"/>
      <c r="O1899" s="1079"/>
      <c r="P1899" s="1079"/>
      <c r="Q1899" s="1079"/>
      <c r="R1899" s="1079"/>
      <c r="S1899" s="1079"/>
      <c r="T1899" s="1079"/>
      <c r="U1899" s="1079"/>
      <c r="V1899" s="1079"/>
      <c r="W1899" s="1079"/>
      <c r="X1899" s="1079"/>
      <c r="Y1899" s="1079"/>
      <c r="Z1899" s="1079"/>
      <c r="AA1899" s="1079"/>
      <c r="AB1899" s="1079"/>
      <c r="AC1899" s="1079"/>
      <c r="AD1899" s="1080"/>
    </row>
    <row r="1900" spans="1:30" x14ac:dyDescent="0.2">
      <c r="A1900">
        <f t="shared" si="63"/>
        <v>51</v>
      </c>
      <c r="B1900">
        <v>1891</v>
      </c>
      <c r="C1900" s="1078"/>
      <c r="D1900" s="1077"/>
      <c r="E1900" s="1077"/>
      <c r="F1900" s="1079"/>
      <c r="G1900" s="1079"/>
      <c r="H1900" s="1079"/>
      <c r="I1900" s="1079"/>
      <c r="J1900" s="1079"/>
      <c r="K1900" s="1079"/>
      <c r="L1900" s="1079"/>
      <c r="M1900" s="1079"/>
      <c r="N1900" s="1079"/>
      <c r="O1900" s="1079"/>
      <c r="P1900" s="1079"/>
      <c r="Q1900" s="1079"/>
      <c r="R1900" s="1079"/>
      <c r="S1900" s="1079"/>
      <c r="T1900" s="1079"/>
      <c r="U1900" s="1079"/>
      <c r="V1900" s="1079"/>
      <c r="W1900" s="1079"/>
      <c r="X1900" s="1079"/>
      <c r="Y1900" s="1079"/>
      <c r="Z1900" s="1079"/>
      <c r="AA1900" s="1079"/>
      <c r="AB1900" s="1079"/>
      <c r="AC1900" s="1079"/>
      <c r="AD1900" s="1080"/>
    </row>
    <row r="1901" spans="1:30" x14ac:dyDescent="0.2">
      <c r="A1901">
        <f t="shared" si="63"/>
        <v>51</v>
      </c>
      <c r="B1901">
        <v>1892</v>
      </c>
      <c r="C1901" s="1078"/>
      <c r="D1901" s="1077"/>
      <c r="E1901" s="1077"/>
      <c r="F1901" s="1079"/>
      <c r="G1901" s="1079"/>
      <c r="H1901" s="1079"/>
      <c r="I1901" s="1079"/>
      <c r="J1901" s="1079"/>
      <c r="K1901" s="1079"/>
      <c r="L1901" s="1079"/>
      <c r="M1901" s="1079"/>
      <c r="N1901" s="1079"/>
      <c r="O1901" s="1079"/>
      <c r="P1901" s="1079"/>
      <c r="Q1901" s="1079"/>
      <c r="R1901" s="1079"/>
      <c r="S1901" s="1079"/>
      <c r="T1901" s="1079"/>
      <c r="U1901" s="1079"/>
      <c r="V1901" s="1079"/>
      <c r="W1901" s="1079"/>
      <c r="X1901" s="1079"/>
      <c r="Y1901" s="1079"/>
      <c r="Z1901" s="1079"/>
      <c r="AA1901" s="1079"/>
      <c r="AB1901" s="1079"/>
      <c r="AC1901" s="1079"/>
      <c r="AD1901" s="1080"/>
    </row>
    <row r="1902" spans="1:30" x14ac:dyDescent="0.2">
      <c r="A1902">
        <f t="shared" si="63"/>
        <v>51</v>
      </c>
      <c r="B1902">
        <v>1893</v>
      </c>
      <c r="C1902" s="1078"/>
      <c r="D1902" s="1077"/>
      <c r="E1902" s="1077"/>
      <c r="F1902" s="1079"/>
      <c r="G1902" s="1079"/>
      <c r="H1902" s="1079"/>
      <c r="I1902" s="1079"/>
      <c r="J1902" s="1079"/>
      <c r="K1902" s="1079"/>
      <c r="L1902" s="1079"/>
      <c r="M1902" s="1079"/>
      <c r="N1902" s="1079"/>
      <c r="O1902" s="1079"/>
      <c r="P1902" s="1079"/>
      <c r="Q1902" s="1079"/>
      <c r="R1902" s="1079"/>
      <c r="S1902" s="1079"/>
      <c r="T1902" s="1079"/>
      <c r="U1902" s="1079"/>
      <c r="V1902" s="1079"/>
      <c r="W1902" s="1079"/>
      <c r="X1902" s="1079"/>
      <c r="Y1902" s="1079"/>
      <c r="Z1902" s="1079"/>
      <c r="AA1902" s="1079"/>
      <c r="AB1902" s="1079"/>
      <c r="AC1902" s="1079"/>
      <c r="AD1902" s="1080"/>
    </row>
    <row r="1903" spans="1:30" x14ac:dyDescent="0.2">
      <c r="A1903">
        <f t="shared" si="63"/>
        <v>51</v>
      </c>
      <c r="B1903">
        <v>1894</v>
      </c>
      <c r="C1903" s="1078"/>
      <c r="D1903" s="1077"/>
      <c r="E1903" s="1077"/>
      <c r="F1903" s="1079"/>
      <c r="G1903" s="1079"/>
      <c r="H1903" s="1079"/>
      <c r="I1903" s="1079"/>
      <c r="J1903" s="1079"/>
      <c r="K1903" s="1079"/>
      <c r="L1903" s="1079"/>
      <c r="M1903" s="1079"/>
      <c r="N1903" s="1079"/>
      <c r="O1903" s="1079"/>
      <c r="P1903" s="1079"/>
      <c r="Q1903" s="1079"/>
      <c r="R1903" s="1079"/>
      <c r="S1903" s="1079"/>
      <c r="T1903" s="1079"/>
      <c r="U1903" s="1079"/>
      <c r="V1903" s="1079"/>
      <c r="W1903" s="1079"/>
      <c r="X1903" s="1079"/>
      <c r="Y1903" s="1079"/>
      <c r="Z1903" s="1079"/>
      <c r="AA1903" s="1079"/>
      <c r="AB1903" s="1079"/>
      <c r="AC1903" s="1079"/>
      <c r="AD1903" s="1080"/>
    </row>
    <row r="1904" spans="1:30" x14ac:dyDescent="0.2">
      <c r="A1904">
        <f t="shared" si="63"/>
        <v>51</v>
      </c>
      <c r="B1904">
        <v>1895</v>
      </c>
      <c r="C1904" s="1078"/>
      <c r="D1904" s="1077"/>
      <c r="E1904" s="1077"/>
      <c r="F1904" s="1079"/>
      <c r="G1904" s="1079"/>
      <c r="H1904" s="1079"/>
      <c r="I1904" s="1079"/>
      <c r="J1904" s="1079"/>
      <c r="K1904" s="1079"/>
      <c r="L1904" s="1079"/>
      <c r="M1904" s="1079"/>
      <c r="N1904" s="1079"/>
      <c r="O1904" s="1079"/>
      <c r="P1904" s="1079"/>
      <c r="Q1904" s="1079"/>
      <c r="R1904" s="1079"/>
      <c r="S1904" s="1079"/>
      <c r="T1904" s="1079"/>
      <c r="U1904" s="1079"/>
      <c r="V1904" s="1079"/>
      <c r="W1904" s="1079"/>
      <c r="X1904" s="1079"/>
      <c r="Y1904" s="1079"/>
      <c r="Z1904" s="1079"/>
      <c r="AA1904" s="1079"/>
      <c r="AB1904" s="1079"/>
      <c r="AC1904" s="1079"/>
      <c r="AD1904" s="1080"/>
    </row>
    <row r="1905" spans="1:30" x14ac:dyDescent="0.2">
      <c r="A1905">
        <f t="shared" si="63"/>
        <v>51</v>
      </c>
      <c r="B1905">
        <v>1896</v>
      </c>
      <c r="C1905" s="1078"/>
      <c r="D1905" s="1077"/>
      <c r="E1905" s="1077"/>
      <c r="F1905" s="1079"/>
      <c r="G1905" s="1079"/>
      <c r="H1905" s="1079"/>
      <c r="I1905" s="1079"/>
      <c r="J1905" s="1079"/>
      <c r="K1905" s="1079"/>
      <c r="L1905" s="1079"/>
      <c r="M1905" s="1079"/>
      <c r="N1905" s="1079"/>
      <c r="O1905" s="1079"/>
      <c r="P1905" s="1079"/>
      <c r="Q1905" s="1079"/>
      <c r="R1905" s="1079"/>
      <c r="S1905" s="1079"/>
      <c r="T1905" s="1079"/>
      <c r="U1905" s="1079"/>
      <c r="V1905" s="1079"/>
      <c r="W1905" s="1079"/>
      <c r="X1905" s="1079"/>
      <c r="Y1905" s="1079"/>
      <c r="Z1905" s="1079"/>
      <c r="AA1905" s="1079"/>
      <c r="AB1905" s="1079"/>
      <c r="AC1905" s="1079"/>
      <c r="AD1905" s="1080"/>
    </row>
    <row r="1906" spans="1:30" x14ac:dyDescent="0.2">
      <c r="A1906">
        <f t="shared" si="63"/>
        <v>51</v>
      </c>
      <c r="B1906">
        <v>1897</v>
      </c>
      <c r="C1906" s="1078"/>
      <c r="D1906" s="1077"/>
      <c r="E1906" s="1077"/>
      <c r="F1906" s="1079"/>
      <c r="G1906" s="1079"/>
      <c r="H1906" s="1079"/>
      <c r="I1906" s="1079"/>
      <c r="J1906" s="1079"/>
      <c r="K1906" s="1079"/>
      <c r="L1906" s="1079"/>
      <c r="M1906" s="1079"/>
      <c r="N1906" s="1079"/>
      <c r="O1906" s="1079"/>
      <c r="P1906" s="1079"/>
      <c r="Q1906" s="1079"/>
      <c r="R1906" s="1079"/>
      <c r="S1906" s="1079"/>
      <c r="T1906" s="1079"/>
      <c r="U1906" s="1079"/>
      <c r="V1906" s="1079"/>
      <c r="W1906" s="1079"/>
      <c r="X1906" s="1079"/>
      <c r="Y1906" s="1079"/>
      <c r="Z1906" s="1079"/>
      <c r="AA1906" s="1079"/>
      <c r="AB1906" s="1079"/>
      <c r="AC1906" s="1079"/>
      <c r="AD1906" s="1080"/>
    </row>
    <row r="1907" spans="1:30" x14ac:dyDescent="0.2">
      <c r="A1907">
        <f t="shared" si="63"/>
        <v>51</v>
      </c>
      <c r="B1907">
        <v>1898</v>
      </c>
      <c r="C1907" s="1078"/>
      <c r="D1907" s="1077"/>
      <c r="E1907" s="1077"/>
      <c r="F1907" s="1079"/>
      <c r="G1907" s="1079"/>
      <c r="H1907" s="1079"/>
      <c r="I1907" s="1079"/>
      <c r="J1907" s="1079"/>
      <c r="K1907" s="1079"/>
      <c r="L1907" s="1079"/>
      <c r="M1907" s="1079"/>
      <c r="N1907" s="1079"/>
      <c r="O1907" s="1079"/>
      <c r="P1907" s="1079"/>
      <c r="Q1907" s="1079"/>
      <c r="R1907" s="1079"/>
      <c r="S1907" s="1079"/>
      <c r="T1907" s="1079"/>
      <c r="U1907" s="1079"/>
      <c r="V1907" s="1079"/>
      <c r="W1907" s="1079"/>
      <c r="X1907" s="1079"/>
      <c r="Y1907" s="1079"/>
      <c r="Z1907" s="1079"/>
      <c r="AA1907" s="1079"/>
      <c r="AB1907" s="1079"/>
      <c r="AC1907" s="1079"/>
      <c r="AD1907" s="1080"/>
    </row>
    <row r="1908" spans="1:30" x14ac:dyDescent="0.2">
      <c r="A1908">
        <f t="shared" si="63"/>
        <v>51</v>
      </c>
      <c r="B1908">
        <v>1899</v>
      </c>
      <c r="C1908" s="1078"/>
      <c r="D1908" s="1077"/>
      <c r="E1908" s="1077"/>
      <c r="F1908" s="1079"/>
      <c r="G1908" s="1079"/>
      <c r="H1908" s="1079"/>
      <c r="I1908" s="1079"/>
      <c r="J1908" s="1079"/>
      <c r="K1908" s="1079"/>
      <c r="L1908" s="1079"/>
      <c r="M1908" s="1079"/>
      <c r="N1908" s="1079"/>
      <c r="O1908" s="1079"/>
      <c r="P1908" s="1079"/>
      <c r="Q1908" s="1079"/>
      <c r="R1908" s="1079"/>
      <c r="S1908" s="1079"/>
      <c r="T1908" s="1079"/>
      <c r="U1908" s="1079"/>
      <c r="V1908" s="1079"/>
      <c r="W1908" s="1079"/>
      <c r="X1908" s="1079"/>
      <c r="Y1908" s="1079"/>
      <c r="Z1908" s="1079"/>
      <c r="AA1908" s="1079"/>
      <c r="AB1908" s="1079"/>
      <c r="AC1908" s="1079"/>
      <c r="AD1908" s="1080"/>
    </row>
    <row r="1909" spans="1:30" x14ac:dyDescent="0.2">
      <c r="A1909">
        <f t="shared" si="63"/>
        <v>51</v>
      </c>
      <c r="B1909">
        <v>1900</v>
      </c>
      <c r="C1909" s="1078"/>
      <c r="D1909" s="1077"/>
      <c r="E1909" s="1077"/>
      <c r="F1909" s="1079"/>
      <c r="G1909" s="1079"/>
      <c r="H1909" s="1079"/>
      <c r="I1909" s="1079"/>
      <c r="J1909" s="1079"/>
      <c r="K1909" s="1079"/>
      <c r="L1909" s="1079"/>
      <c r="M1909" s="1079"/>
      <c r="N1909" s="1079"/>
      <c r="O1909" s="1079"/>
      <c r="P1909" s="1079"/>
      <c r="Q1909" s="1079"/>
      <c r="R1909" s="1079"/>
      <c r="S1909" s="1079"/>
      <c r="T1909" s="1079"/>
      <c r="U1909" s="1079"/>
      <c r="V1909" s="1079"/>
      <c r="W1909" s="1079"/>
      <c r="X1909" s="1079"/>
      <c r="Y1909" s="1079"/>
      <c r="Z1909" s="1079"/>
      <c r="AA1909" s="1079"/>
      <c r="AB1909" s="1079"/>
      <c r="AC1909" s="1079"/>
      <c r="AD1909" s="1080"/>
    </row>
    <row r="1910" spans="1:30" x14ac:dyDescent="0.2">
      <c r="A1910">
        <f t="shared" si="63"/>
        <v>51</v>
      </c>
      <c r="B1910">
        <v>1901</v>
      </c>
      <c r="C1910" s="1078"/>
      <c r="D1910" s="1077"/>
      <c r="E1910" s="1077"/>
      <c r="F1910" s="1079"/>
      <c r="G1910" s="1079"/>
      <c r="H1910" s="1079"/>
      <c r="I1910" s="1079"/>
      <c r="J1910" s="1079"/>
      <c r="K1910" s="1079"/>
      <c r="L1910" s="1079"/>
      <c r="M1910" s="1079"/>
      <c r="N1910" s="1079"/>
      <c r="O1910" s="1079"/>
      <c r="P1910" s="1079"/>
      <c r="Q1910" s="1079"/>
      <c r="R1910" s="1079"/>
      <c r="S1910" s="1079"/>
      <c r="T1910" s="1079"/>
      <c r="U1910" s="1079"/>
      <c r="V1910" s="1079"/>
      <c r="W1910" s="1079"/>
      <c r="X1910" s="1079"/>
      <c r="Y1910" s="1079"/>
      <c r="Z1910" s="1079"/>
      <c r="AA1910" s="1079"/>
      <c r="AB1910" s="1079"/>
      <c r="AC1910" s="1079"/>
      <c r="AD1910" s="1080"/>
    </row>
    <row r="1911" spans="1:30" x14ac:dyDescent="0.2">
      <c r="A1911">
        <f t="shared" si="63"/>
        <v>51</v>
      </c>
      <c r="B1911">
        <v>1902</v>
      </c>
      <c r="C1911" s="1078"/>
      <c r="D1911" s="1077"/>
      <c r="E1911" s="1077"/>
      <c r="F1911" s="1079"/>
      <c r="G1911" s="1079"/>
      <c r="H1911" s="1079"/>
      <c r="I1911" s="1079"/>
      <c r="J1911" s="1079"/>
      <c r="K1911" s="1079"/>
      <c r="L1911" s="1079"/>
      <c r="M1911" s="1079"/>
      <c r="N1911" s="1079"/>
      <c r="O1911" s="1079"/>
      <c r="P1911" s="1079"/>
      <c r="Q1911" s="1079"/>
      <c r="R1911" s="1079"/>
      <c r="S1911" s="1079"/>
      <c r="T1911" s="1079"/>
      <c r="U1911" s="1079"/>
      <c r="V1911" s="1079"/>
      <c r="W1911" s="1079"/>
      <c r="X1911" s="1079"/>
      <c r="Y1911" s="1079"/>
      <c r="Z1911" s="1079"/>
      <c r="AA1911" s="1079"/>
      <c r="AB1911" s="1079"/>
      <c r="AC1911" s="1079"/>
      <c r="AD1911" s="1080"/>
    </row>
    <row r="1912" spans="1:30" x14ac:dyDescent="0.2">
      <c r="A1912">
        <f t="shared" si="63"/>
        <v>51</v>
      </c>
      <c r="B1912">
        <v>1903</v>
      </c>
      <c r="C1912" s="1078"/>
      <c r="D1912" s="1077"/>
      <c r="E1912" s="1077"/>
      <c r="F1912" s="1079"/>
      <c r="G1912" s="1079"/>
      <c r="H1912" s="1079"/>
      <c r="I1912" s="1079"/>
      <c r="J1912" s="1079"/>
      <c r="K1912" s="1079"/>
      <c r="L1912" s="1079"/>
      <c r="M1912" s="1079"/>
      <c r="N1912" s="1079"/>
      <c r="O1912" s="1079"/>
      <c r="P1912" s="1079"/>
      <c r="Q1912" s="1079"/>
      <c r="R1912" s="1079"/>
      <c r="S1912" s="1079"/>
      <c r="T1912" s="1079"/>
      <c r="U1912" s="1079"/>
      <c r="V1912" s="1079"/>
      <c r="W1912" s="1079"/>
      <c r="X1912" s="1079"/>
      <c r="Y1912" s="1079"/>
      <c r="Z1912" s="1079"/>
      <c r="AA1912" s="1079"/>
      <c r="AB1912" s="1079"/>
      <c r="AC1912" s="1079"/>
      <c r="AD1912" s="1080"/>
    </row>
    <row r="1913" spans="1:30" x14ac:dyDescent="0.2">
      <c r="A1913">
        <f t="shared" si="63"/>
        <v>51</v>
      </c>
      <c r="B1913">
        <v>1904</v>
      </c>
      <c r="C1913" s="1078"/>
      <c r="D1913" s="1077"/>
      <c r="E1913" s="1077"/>
      <c r="F1913" s="1079"/>
      <c r="G1913" s="1079"/>
      <c r="H1913" s="1079"/>
      <c r="I1913" s="1079"/>
      <c r="J1913" s="1079"/>
      <c r="K1913" s="1079"/>
      <c r="L1913" s="1079"/>
      <c r="M1913" s="1079"/>
      <c r="N1913" s="1079"/>
      <c r="O1913" s="1079"/>
      <c r="P1913" s="1079"/>
      <c r="Q1913" s="1079"/>
      <c r="R1913" s="1079"/>
      <c r="S1913" s="1079"/>
      <c r="T1913" s="1079"/>
      <c r="U1913" s="1079"/>
      <c r="V1913" s="1079"/>
      <c r="W1913" s="1079"/>
      <c r="X1913" s="1079"/>
      <c r="Y1913" s="1079"/>
      <c r="Z1913" s="1079"/>
      <c r="AA1913" s="1079"/>
      <c r="AB1913" s="1079"/>
      <c r="AC1913" s="1079"/>
      <c r="AD1913" s="1080"/>
    </row>
    <row r="1914" spans="1:30" x14ac:dyDescent="0.2">
      <c r="A1914">
        <f t="shared" si="63"/>
        <v>51</v>
      </c>
      <c r="B1914">
        <v>1905</v>
      </c>
      <c r="C1914" s="1078"/>
      <c r="D1914" s="1077"/>
      <c r="E1914" s="1077"/>
      <c r="F1914" s="1079"/>
      <c r="G1914" s="1079"/>
      <c r="H1914" s="1079"/>
      <c r="I1914" s="1079"/>
      <c r="J1914" s="1079"/>
      <c r="K1914" s="1079"/>
      <c r="L1914" s="1079"/>
      <c r="M1914" s="1079"/>
      <c r="N1914" s="1079"/>
      <c r="O1914" s="1079"/>
      <c r="P1914" s="1079"/>
      <c r="Q1914" s="1079"/>
      <c r="R1914" s="1079"/>
      <c r="S1914" s="1079"/>
      <c r="T1914" s="1079"/>
      <c r="U1914" s="1079"/>
      <c r="V1914" s="1079"/>
      <c r="W1914" s="1079"/>
      <c r="X1914" s="1079"/>
      <c r="Y1914" s="1079"/>
      <c r="Z1914" s="1079"/>
      <c r="AA1914" s="1079"/>
      <c r="AB1914" s="1079"/>
      <c r="AC1914" s="1079"/>
      <c r="AD1914" s="1080"/>
    </row>
    <row r="1915" spans="1:30" x14ac:dyDescent="0.2">
      <c r="A1915">
        <f t="shared" si="63"/>
        <v>51</v>
      </c>
      <c r="B1915">
        <v>1906</v>
      </c>
      <c r="C1915" s="1078"/>
      <c r="D1915" s="1077"/>
      <c r="E1915" s="1077"/>
      <c r="F1915" s="1079"/>
      <c r="G1915" s="1079"/>
      <c r="H1915" s="1079"/>
      <c r="I1915" s="1079"/>
      <c r="J1915" s="1079"/>
      <c r="K1915" s="1079"/>
      <c r="L1915" s="1079"/>
      <c r="M1915" s="1079"/>
      <c r="N1915" s="1079"/>
      <c r="O1915" s="1079"/>
      <c r="P1915" s="1079"/>
      <c r="Q1915" s="1079"/>
      <c r="R1915" s="1079"/>
      <c r="S1915" s="1079"/>
      <c r="T1915" s="1079"/>
      <c r="U1915" s="1079"/>
      <c r="V1915" s="1079"/>
      <c r="W1915" s="1079"/>
      <c r="X1915" s="1079"/>
      <c r="Y1915" s="1079"/>
      <c r="Z1915" s="1079"/>
      <c r="AA1915" s="1079"/>
      <c r="AB1915" s="1079"/>
      <c r="AC1915" s="1079"/>
      <c r="AD1915" s="1080"/>
    </row>
    <row r="1916" spans="1:30" x14ac:dyDescent="0.2">
      <c r="A1916">
        <f t="shared" si="63"/>
        <v>51</v>
      </c>
      <c r="B1916">
        <v>1907</v>
      </c>
      <c r="C1916" s="1078"/>
      <c r="D1916" s="1077"/>
      <c r="E1916" s="1077"/>
      <c r="F1916" s="1079"/>
      <c r="G1916" s="1079"/>
      <c r="H1916" s="1079"/>
      <c r="I1916" s="1079"/>
      <c r="J1916" s="1079"/>
      <c r="K1916" s="1079"/>
      <c r="L1916" s="1079"/>
      <c r="M1916" s="1079"/>
      <c r="N1916" s="1079"/>
      <c r="O1916" s="1079"/>
      <c r="P1916" s="1079"/>
      <c r="Q1916" s="1079"/>
      <c r="R1916" s="1079"/>
      <c r="S1916" s="1079"/>
      <c r="T1916" s="1079"/>
      <c r="U1916" s="1079"/>
      <c r="V1916" s="1079"/>
      <c r="W1916" s="1079"/>
      <c r="X1916" s="1079"/>
      <c r="Y1916" s="1079"/>
      <c r="Z1916" s="1079"/>
      <c r="AA1916" s="1079"/>
      <c r="AB1916" s="1079"/>
      <c r="AC1916" s="1079"/>
      <c r="AD1916" s="1080"/>
    </row>
    <row r="1917" spans="1:30" x14ac:dyDescent="0.2">
      <c r="A1917">
        <f t="shared" si="63"/>
        <v>51</v>
      </c>
      <c r="B1917">
        <v>1908</v>
      </c>
      <c r="C1917" s="1078"/>
      <c r="D1917" s="1077"/>
      <c r="E1917" s="1077"/>
      <c r="F1917" s="1079"/>
      <c r="G1917" s="1079"/>
      <c r="H1917" s="1079"/>
      <c r="I1917" s="1079"/>
      <c r="J1917" s="1079"/>
      <c r="K1917" s="1079"/>
      <c r="L1917" s="1079"/>
      <c r="M1917" s="1079"/>
      <c r="N1917" s="1079"/>
      <c r="O1917" s="1079"/>
      <c r="P1917" s="1079"/>
      <c r="Q1917" s="1079"/>
      <c r="R1917" s="1079"/>
      <c r="S1917" s="1079"/>
      <c r="T1917" s="1079"/>
      <c r="U1917" s="1079"/>
      <c r="V1917" s="1079"/>
      <c r="W1917" s="1079"/>
      <c r="X1917" s="1079"/>
      <c r="Y1917" s="1079"/>
      <c r="Z1917" s="1079"/>
      <c r="AA1917" s="1079"/>
      <c r="AB1917" s="1079"/>
      <c r="AC1917" s="1079"/>
      <c r="AD1917" s="1080"/>
    </row>
    <row r="1918" spans="1:30" x14ac:dyDescent="0.2">
      <c r="A1918">
        <f t="shared" si="63"/>
        <v>51</v>
      </c>
      <c r="B1918">
        <v>1909</v>
      </c>
      <c r="C1918" s="1078"/>
      <c r="D1918" s="1077"/>
      <c r="E1918" s="1077"/>
      <c r="F1918" s="1079"/>
      <c r="G1918" s="1079"/>
      <c r="H1918" s="1079"/>
      <c r="I1918" s="1079"/>
      <c r="J1918" s="1079"/>
      <c r="K1918" s="1079"/>
      <c r="L1918" s="1079"/>
      <c r="M1918" s="1079"/>
      <c r="N1918" s="1079"/>
      <c r="O1918" s="1079"/>
      <c r="P1918" s="1079"/>
      <c r="Q1918" s="1079"/>
      <c r="R1918" s="1079"/>
      <c r="S1918" s="1079"/>
      <c r="T1918" s="1079"/>
      <c r="U1918" s="1079"/>
      <c r="V1918" s="1079"/>
      <c r="W1918" s="1079"/>
      <c r="X1918" s="1079"/>
      <c r="Y1918" s="1079"/>
      <c r="Z1918" s="1079"/>
      <c r="AA1918" s="1079"/>
      <c r="AB1918" s="1079"/>
      <c r="AC1918" s="1079"/>
      <c r="AD1918" s="1080"/>
    </row>
    <row r="1919" spans="1:30" x14ac:dyDescent="0.2">
      <c r="A1919">
        <f t="shared" si="63"/>
        <v>51</v>
      </c>
      <c r="B1919">
        <v>1910</v>
      </c>
      <c r="C1919" s="1078"/>
      <c r="D1919" s="1077"/>
      <c r="E1919" s="1077"/>
      <c r="F1919" s="1079"/>
      <c r="G1919" s="1079"/>
      <c r="H1919" s="1079"/>
      <c r="I1919" s="1079"/>
      <c r="J1919" s="1079"/>
      <c r="K1919" s="1079"/>
      <c r="L1919" s="1079"/>
      <c r="M1919" s="1079"/>
      <c r="N1919" s="1079"/>
      <c r="O1919" s="1079"/>
      <c r="P1919" s="1079"/>
      <c r="Q1919" s="1079"/>
      <c r="R1919" s="1079"/>
      <c r="S1919" s="1079"/>
      <c r="T1919" s="1079"/>
      <c r="U1919" s="1079"/>
      <c r="V1919" s="1079"/>
      <c r="W1919" s="1079"/>
      <c r="X1919" s="1079"/>
      <c r="Y1919" s="1079"/>
      <c r="Z1919" s="1079"/>
      <c r="AA1919" s="1079"/>
      <c r="AB1919" s="1079"/>
      <c r="AC1919" s="1079"/>
      <c r="AD1919" s="1080"/>
    </row>
    <row r="1920" spans="1:30" x14ac:dyDescent="0.2">
      <c r="A1920">
        <f t="shared" si="63"/>
        <v>51</v>
      </c>
      <c r="B1920">
        <v>1911</v>
      </c>
      <c r="C1920" s="1078"/>
      <c r="D1920" s="1077"/>
      <c r="E1920" s="1077"/>
      <c r="F1920" s="1079"/>
      <c r="G1920" s="1079"/>
      <c r="H1920" s="1079"/>
      <c r="I1920" s="1079"/>
      <c r="J1920" s="1079"/>
      <c r="K1920" s="1079"/>
      <c r="L1920" s="1079"/>
      <c r="M1920" s="1079"/>
      <c r="N1920" s="1079"/>
      <c r="O1920" s="1079"/>
      <c r="P1920" s="1079"/>
      <c r="Q1920" s="1079"/>
      <c r="R1920" s="1079"/>
      <c r="S1920" s="1079"/>
      <c r="T1920" s="1079"/>
      <c r="U1920" s="1079"/>
      <c r="V1920" s="1079"/>
      <c r="W1920" s="1079"/>
      <c r="X1920" s="1079"/>
      <c r="Y1920" s="1079"/>
      <c r="Z1920" s="1079"/>
      <c r="AA1920" s="1079"/>
      <c r="AB1920" s="1079"/>
      <c r="AC1920" s="1079"/>
      <c r="AD1920" s="1080"/>
    </row>
    <row r="1921" spans="1:30" x14ac:dyDescent="0.2">
      <c r="A1921">
        <f t="shared" si="63"/>
        <v>51</v>
      </c>
      <c r="B1921">
        <v>1912</v>
      </c>
      <c r="C1921" s="1078"/>
      <c r="D1921" s="1077"/>
      <c r="E1921" s="1077"/>
      <c r="F1921" s="1079"/>
      <c r="G1921" s="1079"/>
      <c r="H1921" s="1079"/>
      <c r="I1921" s="1079"/>
      <c r="J1921" s="1079"/>
      <c r="K1921" s="1079"/>
      <c r="L1921" s="1079"/>
      <c r="M1921" s="1079"/>
      <c r="N1921" s="1079"/>
      <c r="O1921" s="1079"/>
      <c r="P1921" s="1079"/>
      <c r="Q1921" s="1079"/>
      <c r="R1921" s="1079"/>
      <c r="S1921" s="1079"/>
      <c r="T1921" s="1079"/>
      <c r="U1921" s="1079"/>
      <c r="V1921" s="1079"/>
      <c r="W1921" s="1079"/>
      <c r="X1921" s="1079"/>
      <c r="Y1921" s="1079"/>
      <c r="Z1921" s="1079"/>
      <c r="AA1921" s="1079"/>
      <c r="AB1921" s="1079"/>
      <c r="AC1921" s="1079"/>
      <c r="AD1921" s="1080"/>
    </row>
    <row r="1922" spans="1:30" x14ac:dyDescent="0.2">
      <c r="A1922">
        <f t="shared" si="63"/>
        <v>51</v>
      </c>
      <c r="B1922">
        <v>1913</v>
      </c>
      <c r="C1922" s="1078"/>
      <c r="D1922" s="1077"/>
      <c r="E1922" s="1077"/>
      <c r="F1922" s="1079"/>
      <c r="G1922" s="1079"/>
      <c r="H1922" s="1079"/>
      <c r="I1922" s="1079"/>
      <c r="J1922" s="1079"/>
      <c r="K1922" s="1079"/>
      <c r="L1922" s="1079"/>
      <c r="M1922" s="1079"/>
      <c r="N1922" s="1079"/>
      <c r="O1922" s="1079"/>
      <c r="P1922" s="1079"/>
      <c r="Q1922" s="1079"/>
      <c r="R1922" s="1079"/>
      <c r="S1922" s="1079"/>
      <c r="T1922" s="1079"/>
      <c r="U1922" s="1079"/>
      <c r="V1922" s="1079"/>
      <c r="W1922" s="1079"/>
      <c r="X1922" s="1079"/>
      <c r="Y1922" s="1079"/>
      <c r="Z1922" s="1079"/>
      <c r="AA1922" s="1079"/>
      <c r="AB1922" s="1079"/>
      <c r="AC1922" s="1079"/>
      <c r="AD1922" s="1080"/>
    </row>
    <row r="1923" spans="1:30" x14ac:dyDescent="0.2">
      <c r="A1923">
        <f t="shared" si="63"/>
        <v>51</v>
      </c>
      <c r="B1923">
        <v>1914</v>
      </c>
      <c r="C1923" s="1078"/>
      <c r="D1923" s="1077"/>
      <c r="E1923" s="1077"/>
      <c r="F1923" s="1079"/>
      <c r="G1923" s="1079"/>
      <c r="H1923" s="1079"/>
      <c r="I1923" s="1079"/>
      <c r="J1923" s="1079"/>
      <c r="K1923" s="1079"/>
      <c r="L1923" s="1079"/>
      <c r="M1923" s="1079"/>
      <c r="N1923" s="1079"/>
      <c r="O1923" s="1079"/>
      <c r="P1923" s="1079"/>
      <c r="Q1923" s="1079"/>
      <c r="R1923" s="1079"/>
      <c r="S1923" s="1079"/>
      <c r="T1923" s="1079"/>
      <c r="U1923" s="1079"/>
      <c r="V1923" s="1079"/>
      <c r="W1923" s="1079"/>
      <c r="X1923" s="1079"/>
      <c r="Y1923" s="1079"/>
      <c r="Z1923" s="1079"/>
      <c r="AA1923" s="1079"/>
      <c r="AB1923" s="1079"/>
      <c r="AC1923" s="1079"/>
      <c r="AD1923" s="1080"/>
    </row>
    <row r="1924" spans="1:30" x14ac:dyDescent="0.2">
      <c r="A1924">
        <f t="shared" si="63"/>
        <v>51</v>
      </c>
      <c r="B1924">
        <v>1915</v>
      </c>
      <c r="C1924" s="1078"/>
      <c r="D1924" s="1077"/>
      <c r="E1924" s="1077"/>
      <c r="F1924" s="1079"/>
      <c r="G1924" s="1079"/>
      <c r="H1924" s="1079"/>
      <c r="I1924" s="1079"/>
      <c r="J1924" s="1079"/>
      <c r="K1924" s="1079"/>
      <c r="L1924" s="1079"/>
      <c r="M1924" s="1079"/>
      <c r="N1924" s="1079"/>
      <c r="O1924" s="1079"/>
      <c r="P1924" s="1079"/>
      <c r="Q1924" s="1079"/>
      <c r="R1924" s="1079"/>
      <c r="S1924" s="1079"/>
      <c r="T1924" s="1079"/>
      <c r="U1924" s="1079"/>
      <c r="V1924" s="1079"/>
      <c r="W1924" s="1079"/>
      <c r="X1924" s="1079"/>
      <c r="Y1924" s="1079"/>
      <c r="Z1924" s="1079"/>
      <c r="AA1924" s="1079"/>
      <c r="AB1924" s="1079"/>
      <c r="AC1924" s="1079"/>
      <c r="AD1924" s="1080"/>
    </row>
    <row r="1925" spans="1:30" x14ac:dyDescent="0.2">
      <c r="A1925">
        <f t="shared" si="63"/>
        <v>51</v>
      </c>
      <c r="B1925">
        <v>1916</v>
      </c>
      <c r="C1925" s="1078"/>
      <c r="D1925" s="1077"/>
      <c r="E1925" s="1077"/>
      <c r="F1925" s="1079"/>
      <c r="G1925" s="1079"/>
      <c r="H1925" s="1079"/>
      <c r="I1925" s="1079"/>
      <c r="J1925" s="1079"/>
      <c r="K1925" s="1079"/>
      <c r="L1925" s="1079"/>
      <c r="M1925" s="1079"/>
      <c r="N1925" s="1079"/>
      <c r="O1925" s="1079"/>
      <c r="P1925" s="1079"/>
      <c r="Q1925" s="1079"/>
      <c r="R1925" s="1079"/>
      <c r="S1925" s="1079"/>
      <c r="T1925" s="1079"/>
      <c r="U1925" s="1079"/>
      <c r="V1925" s="1079"/>
      <c r="W1925" s="1079"/>
      <c r="X1925" s="1079"/>
      <c r="Y1925" s="1079"/>
      <c r="Z1925" s="1079"/>
      <c r="AA1925" s="1079"/>
      <c r="AB1925" s="1079"/>
      <c r="AC1925" s="1079"/>
      <c r="AD1925" s="1080"/>
    </row>
    <row r="1926" spans="1:30" x14ac:dyDescent="0.2">
      <c r="A1926">
        <f t="shared" si="63"/>
        <v>51</v>
      </c>
      <c r="B1926">
        <v>1917</v>
      </c>
      <c r="C1926" s="1078"/>
      <c r="D1926" s="1077"/>
      <c r="E1926" s="1077"/>
      <c r="F1926" s="1079"/>
      <c r="G1926" s="1079"/>
      <c r="H1926" s="1079"/>
      <c r="I1926" s="1079"/>
      <c r="J1926" s="1079"/>
      <c r="K1926" s="1079"/>
      <c r="L1926" s="1079"/>
      <c r="M1926" s="1079"/>
      <c r="N1926" s="1079"/>
      <c r="O1926" s="1079"/>
      <c r="P1926" s="1079"/>
      <c r="Q1926" s="1079"/>
      <c r="R1926" s="1079"/>
      <c r="S1926" s="1079"/>
      <c r="T1926" s="1079"/>
      <c r="U1926" s="1079"/>
      <c r="V1926" s="1079"/>
      <c r="W1926" s="1079"/>
      <c r="X1926" s="1079"/>
      <c r="Y1926" s="1079"/>
      <c r="Z1926" s="1079"/>
      <c r="AA1926" s="1079"/>
      <c r="AB1926" s="1079"/>
      <c r="AC1926" s="1079"/>
      <c r="AD1926" s="1080"/>
    </row>
    <row r="1927" spans="1:30" x14ac:dyDescent="0.2">
      <c r="A1927">
        <f t="shared" si="63"/>
        <v>51</v>
      </c>
      <c r="B1927">
        <v>1918</v>
      </c>
      <c r="C1927" s="1078"/>
      <c r="D1927" s="1077"/>
      <c r="E1927" s="1077"/>
      <c r="F1927" s="1079"/>
      <c r="G1927" s="1079"/>
      <c r="H1927" s="1079"/>
      <c r="I1927" s="1079"/>
      <c r="J1927" s="1079"/>
      <c r="K1927" s="1079"/>
      <c r="L1927" s="1079"/>
      <c r="M1927" s="1079"/>
      <c r="N1927" s="1079"/>
      <c r="O1927" s="1079"/>
      <c r="P1927" s="1079"/>
      <c r="Q1927" s="1079"/>
      <c r="R1927" s="1079"/>
      <c r="S1927" s="1079"/>
      <c r="T1927" s="1079"/>
      <c r="U1927" s="1079"/>
      <c r="V1927" s="1079"/>
      <c r="W1927" s="1079"/>
      <c r="X1927" s="1079"/>
      <c r="Y1927" s="1079"/>
      <c r="Z1927" s="1079"/>
      <c r="AA1927" s="1079"/>
      <c r="AB1927" s="1079"/>
      <c r="AC1927" s="1079"/>
      <c r="AD1927" s="1080"/>
    </row>
    <row r="1928" spans="1:30" x14ac:dyDescent="0.2">
      <c r="A1928">
        <f t="shared" si="63"/>
        <v>51</v>
      </c>
      <c r="B1928">
        <v>1919</v>
      </c>
      <c r="C1928" s="1078"/>
      <c r="D1928" s="1077"/>
      <c r="E1928" s="1077"/>
      <c r="F1928" s="1079"/>
      <c r="G1928" s="1079"/>
      <c r="H1928" s="1079"/>
      <c r="I1928" s="1079"/>
      <c r="J1928" s="1079"/>
      <c r="K1928" s="1079"/>
      <c r="L1928" s="1079"/>
      <c r="M1928" s="1079"/>
      <c r="N1928" s="1079"/>
      <c r="O1928" s="1079"/>
      <c r="P1928" s="1079"/>
      <c r="Q1928" s="1079"/>
      <c r="R1928" s="1079"/>
      <c r="S1928" s="1079"/>
      <c r="T1928" s="1079"/>
      <c r="U1928" s="1079"/>
      <c r="V1928" s="1079"/>
      <c r="W1928" s="1079"/>
      <c r="X1928" s="1079"/>
      <c r="Y1928" s="1079"/>
      <c r="Z1928" s="1079"/>
      <c r="AA1928" s="1079"/>
      <c r="AB1928" s="1079"/>
      <c r="AC1928" s="1079"/>
      <c r="AD1928" s="1080"/>
    </row>
    <row r="1929" spans="1:30" x14ac:dyDescent="0.2">
      <c r="A1929">
        <f t="shared" si="63"/>
        <v>51</v>
      </c>
      <c r="B1929">
        <v>1920</v>
      </c>
      <c r="C1929" s="1078"/>
      <c r="D1929" s="1077"/>
      <c r="E1929" s="1077"/>
      <c r="F1929" s="1079"/>
      <c r="G1929" s="1079"/>
      <c r="H1929" s="1079"/>
      <c r="I1929" s="1079"/>
      <c r="J1929" s="1079"/>
      <c r="K1929" s="1079"/>
      <c r="L1929" s="1079"/>
      <c r="M1929" s="1079"/>
      <c r="N1929" s="1079"/>
      <c r="O1929" s="1079"/>
      <c r="P1929" s="1079"/>
      <c r="Q1929" s="1079"/>
      <c r="R1929" s="1079"/>
      <c r="S1929" s="1079"/>
      <c r="T1929" s="1079"/>
      <c r="U1929" s="1079"/>
      <c r="V1929" s="1079"/>
      <c r="W1929" s="1079"/>
      <c r="X1929" s="1079"/>
      <c r="Y1929" s="1079"/>
      <c r="Z1929" s="1079"/>
      <c r="AA1929" s="1079"/>
      <c r="AB1929" s="1079"/>
      <c r="AC1929" s="1079"/>
      <c r="AD1929" s="1080"/>
    </row>
    <row r="1930" spans="1:30" x14ac:dyDescent="0.2">
      <c r="A1930">
        <f t="shared" si="63"/>
        <v>51</v>
      </c>
      <c r="B1930">
        <v>1921</v>
      </c>
      <c r="C1930" s="1078"/>
      <c r="D1930" s="1077"/>
      <c r="E1930" s="1077"/>
      <c r="F1930" s="1079"/>
      <c r="G1930" s="1079"/>
      <c r="H1930" s="1079"/>
      <c r="I1930" s="1079"/>
      <c r="J1930" s="1079"/>
      <c r="K1930" s="1079"/>
      <c r="L1930" s="1079"/>
      <c r="M1930" s="1079"/>
      <c r="N1930" s="1079"/>
      <c r="O1930" s="1079"/>
      <c r="P1930" s="1079"/>
      <c r="Q1930" s="1079"/>
      <c r="R1930" s="1079"/>
      <c r="S1930" s="1079"/>
      <c r="T1930" s="1079"/>
      <c r="U1930" s="1079"/>
      <c r="V1930" s="1079"/>
      <c r="W1930" s="1079"/>
      <c r="X1930" s="1079"/>
      <c r="Y1930" s="1079"/>
      <c r="Z1930" s="1079"/>
      <c r="AA1930" s="1079"/>
      <c r="AB1930" s="1079"/>
      <c r="AC1930" s="1079"/>
      <c r="AD1930" s="1080"/>
    </row>
    <row r="1931" spans="1:30" x14ac:dyDescent="0.2">
      <c r="A1931">
        <f t="shared" si="63"/>
        <v>51</v>
      </c>
      <c r="B1931">
        <v>1922</v>
      </c>
      <c r="C1931" s="1078"/>
      <c r="D1931" s="1077"/>
      <c r="E1931" s="1077"/>
      <c r="F1931" s="1079"/>
      <c r="G1931" s="1079"/>
      <c r="H1931" s="1079"/>
      <c r="I1931" s="1079"/>
      <c r="J1931" s="1079"/>
      <c r="K1931" s="1079"/>
      <c r="L1931" s="1079"/>
      <c r="M1931" s="1079"/>
      <c r="N1931" s="1079"/>
      <c r="O1931" s="1079"/>
      <c r="P1931" s="1079"/>
      <c r="Q1931" s="1079"/>
      <c r="R1931" s="1079"/>
      <c r="S1931" s="1079"/>
      <c r="T1931" s="1079"/>
      <c r="U1931" s="1079"/>
      <c r="V1931" s="1079"/>
      <c r="W1931" s="1079"/>
      <c r="X1931" s="1079"/>
      <c r="Y1931" s="1079"/>
      <c r="Z1931" s="1079"/>
      <c r="AA1931" s="1079"/>
      <c r="AB1931" s="1079"/>
      <c r="AC1931" s="1079"/>
      <c r="AD1931" s="1080"/>
    </row>
    <row r="1932" spans="1:30" x14ac:dyDescent="0.2">
      <c r="A1932">
        <f t="shared" ref="A1932:A1995" si="64">A1931+(D1932&lt;&gt;D1931)*1</f>
        <v>51</v>
      </c>
      <c r="B1932">
        <v>1923</v>
      </c>
      <c r="C1932" s="1078"/>
      <c r="D1932" s="1077"/>
      <c r="E1932" s="1077"/>
      <c r="F1932" s="1079"/>
      <c r="G1932" s="1079"/>
      <c r="H1932" s="1079"/>
      <c r="I1932" s="1079"/>
      <c r="J1932" s="1079"/>
      <c r="K1932" s="1079"/>
      <c r="L1932" s="1079"/>
      <c r="M1932" s="1079"/>
      <c r="N1932" s="1079"/>
      <c r="O1932" s="1079"/>
      <c r="P1932" s="1079"/>
      <c r="Q1932" s="1079"/>
      <c r="R1932" s="1079"/>
      <c r="S1932" s="1079"/>
      <c r="T1932" s="1079"/>
      <c r="U1932" s="1079"/>
      <c r="V1932" s="1079"/>
      <c r="W1932" s="1079"/>
      <c r="X1932" s="1079"/>
      <c r="Y1932" s="1079"/>
      <c r="Z1932" s="1079"/>
      <c r="AA1932" s="1079"/>
      <c r="AB1932" s="1079"/>
      <c r="AC1932" s="1079"/>
      <c r="AD1932" s="1080"/>
    </row>
    <row r="1933" spans="1:30" x14ac:dyDescent="0.2">
      <c r="A1933">
        <f t="shared" si="64"/>
        <v>51</v>
      </c>
      <c r="B1933">
        <v>1924</v>
      </c>
      <c r="C1933" s="1078"/>
      <c r="D1933" s="1077"/>
      <c r="E1933" s="1077"/>
      <c r="F1933" s="1079"/>
      <c r="G1933" s="1079"/>
      <c r="H1933" s="1079"/>
      <c r="I1933" s="1079"/>
      <c r="J1933" s="1079"/>
      <c r="K1933" s="1079"/>
      <c r="L1933" s="1079"/>
      <c r="M1933" s="1079"/>
      <c r="N1933" s="1079"/>
      <c r="O1933" s="1079"/>
      <c r="P1933" s="1079"/>
      <c r="Q1933" s="1079"/>
      <c r="R1933" s="1079"/>
      <c r="S1933" s="1079"/>
      <c r="T1933" s="1079"/>
      <c r="U1933" s="1079"/>
      <c r="V1933" s="1079"/>
      <c r="W1933" s="1079"/>
      <c r="X1933" s="1079"/>
      <c r="Y1933" s="1079"/>
      <c r="Z1933" s="1079"/>
      <c r="AA1933" s="1079"/>
      <c r="AB1933" s="1079"/>
      <c r="AC1933" s="1079"/>
      <c r="AD1933" s="1080"/>
    </row>
    <row r="1934" spans="1:30" x14ac:dyDescent="0.2">
      <c r="A1934">
        <f t="shared" si="64"/>
        <v>51</v>
      </c>
      <c r="B1934">
        <v>1925</v>
      </c>
      <c r="C1934" s="1078"/>
      <c r="D1934" s="1077"/>
      <c r="E1934" s="1077"/>
      <c r="F1934" s="1079"/>
      <c r="G1934" s="1079"/>
      <c r="H1934" s="1079"/>
      <c r="I1934" s="1079"/>
      <c r="J1934" s="1079"/>
      <c r="K1934" s="1079"/>
      <c r="L1934" s="1079"/>
      <c r="M1934" s="1079"/>
      <c r="N1934" s="1079"/>
      <c r="O1934" s="1079"/>
      <c r="P1934" s="1079"/>
      <c r="Q1934" s="1079"/>
      <c r="R1934" s="1079"/>
      <c r="S1934" s="1079"/>
      <c r="T1934" s="1079"/>
      <c r="U1934" s="1079"/>
      <c r="V1934" s="1079"/>
      <c r="W1934" s="1079"/>
      <c r="X1934" s="1079"/>
      <c r="Y1934" s="1079"/>
      <c r="Z1934" s="1079"/>
      <c r="AA1934" s="1079"/>
      <c r="AB1934" s="1079"/>
      <c r="AC1934" s="1079"/>
      <c r="AD1934" s="1080"/>
    </row>
    <row r="1935" spans="1:30" x14ac:dyDescent="0.2">
      <c r="A1935">
        <f t="shared" si="64"/>
        <v>51</v>
      </c>
      <c r="B1935">
        <v>1926</v>
      </c>
      <c r="C1935" s="1078"/>
      <c r="D1935" s="1077"/>
      <c r="E1935" s="1077"/>
      <c r="F1935" s="1079"/>
      <c r="G1935" s="1079"/>
      <c r="H1935" s="1079"/>
      <c r="I1935" s="1079"/>
      <c r="J1935" s="1079"/>
      <c r="K1935" s="1079"/>
      <c r="L1935" s="1079"/>
      <c r="M1935" s="1079"/>
      <c r="N1935" s="1079"/>
      <c r="O1935" s="1079"/>
      <c r="P1935" s="1079"/>
      <c r="Q1935" s="1079"/>
      <c r="R1935" s="1079"/>
      <c r="S1935" s="1079"/>
      <c r="T1935" s="1079"/>
      <c r="U1935" s="1079"/>
      <c r="V1935" s="1079"/>
      <c r="W1935" s="1079"/>
      <c r="X1935" s="1079"/>
      <c r="Y1935" s="1079"/>
      <c r="Z1935" s="1079"/>
      <c r="AA1935" s="1079"/>
      <c r="AB1935" s="1079"/>
      <c r="AC1935" s="1079"/>
      <c r="AD1935" s="1080"/>
    </row>
    <row r="1936" spans="1:30" x14ac:dyDescent="0.2">
      <c r="A1936">
        <f t="shared" si="64"/>
        <v>51</v>
      </c>
      <c r="B1936">
        <v>1927</v>
      </c>
      <c r="C1936" s="1078"/>
      <c r="D1936" s="1077"/>
      <c r="E1936" s="1077"/>
      <c r="F1936" s="1079"/>
      <c r="G1936" s="1079"/>
      <c r="H1936" s="1079"/>
      <c r="I1936" s="1079"/>
      <c r="J1936" s="1079"/>
      <c r="K1936" s="1079"/>
      <c r="L1936" s="1079"/>
      <c r="M1936" s="1079"/>
      <c r="N1936" s="1079"/>
      <c r="O1936" s="1079"/>
      <c r="P1936" s="1079"/>
      <c r="Q1936" s="1079"/>
      <c r="R1936" s="1079"/>
      <c r="S1936" s="1079"/>
      <c r="T1936" s="1079"/>
      <c r="U1936" s="1079"/>
      <c r="V1936" s="1079"/>
      <c r="W1936" s="1079"/>
      <c r="X1936" s="1079"/>
      <c r="Y1936" s="1079"/>
      <c r="Z1936" s="1079"/>
      <c r="AA1936" s="1079"/>
      <c r="AB1936" s="1079"/>
      <c r="AC1936" s="1079"/>
      <c r="AD1936" s="1080"/>
    </row>
    <row r="1937" spans="1:30" x14ac:dyDescent="0.2">
      <c r="A1937">
        <f t="shared" si="64"/>
        <v>51</v>
      </c>
      <c r="B1937">
        <v>1928</v>
      </c>
      <c r="C1937" s="1078"/>
      <c r="D1937" s="1077"/>
      <c r="E1937" s="1077"/>
      <c r="F1937" s="1079"/>
      <c r="G1937" s="1079"/>
      <c r="H1937" s="1079"/>
      <c r="I1937" s="1079"/>
      <c r="J1937" s="1079"/>
      <c r="K1937" s="1079"/>
      <c r="L1937" s="1079"/>
      <c r="M1937" s="1079"/>
      <c r="N1937" s="1079"/>
      <c r="O1937" s="1079"/>
      <c r="P1937" s="1079"/>
      <c r="Q1937" s="1079"/>
      <c r="R1937" s="1079"/>
      <c r="S1937" s="1079"/>
      <c r="T1937" s="1079"/>
      <c r="U1937" s="1079"/>
      <c r="V1937" s="1079"/>
      <c r="W1937" s="1079"/>
      <c r="X1937" s="1079"/>
      <c r="Y1937" s="1079"/>
      <c r="Z1937" s="1079"/>
      <c r="AA1937" s="1079"/>
      <c r="AB1937" s="1079"/>
      <c r="AC1937" s="1079"/>
      <c r="AD1937" s="1080"/>
    </row>
    <row r="1938" spans="1:30" x14ac:dyDescent="0.2">
      <c r="A1938">
        <f t="shared" si="64"/>
        <v>51</v>
      </c>
      <c r="B1938">
        <v>1929</v>
      </c>
      <c r="C1938" s="1078"/>
      <c r="D1938" s="1077"/>
      <c r="E1938" s="1077"/>
      <c r="F1938" s="1079"/>
      <c r="G1938" s="1186"/>
      <c r="H1938" s="1186"/>
      <c r="I1938" s="1186"/>
      <c r="J1938" s="1186"/>
      <c r="K1938" s="1186"/>
      <c r="L1938" s="1186"/>
      <c r="M1938" s="1186"/>
      <c r="N1938" s="1186"/>
      <c r="O1938" s="1186"/>
      <c r="P1938" s="1186"/>
      <c r="Q1938" s="1186"/>
      <c r="R1938" s="1186"/>
      <c r="S1938" s="1186"/>
      <c r="T1938" s="1186"/>
      <c r="U1938" s="1186"/>
      <c r="V1938" s="1186"/>
      <c r="W1938" s="1079"/>
      <c r="X1938" s="1079"/>
      <c r="Y1938" s="1079"/>
      <c r="Z1938" s="1079"/>
      <c r="AA1938" s="1079"/>
      <c r="AB1938" s="1079"/>
      <c r="AC1938" s="1079"/>
      <c r="AD1938" s="1080"/>
    </row>
    <row r="1939" spans="1:30" x14ac:dyDescent="0.2">
      <c r="A1939">
        <f t="shared" si="64"/>
        <v>51</v>
      </c>
      <c r="B1939">
        <v>1930</v>
      </c>
      <c r="C1939" s="1078"/>
      <c r="D1939" s="1077"/>
      <c r="E1939" s="1077"/>
      <c r="F1939" s="1079"/>
      <c r="G1939" s="1186"/>
      <c r="H1939" s="1186"/>
      <c r="I1939" s="1186"/>
      <c r="J1939" s="1186"/>
      <c r="K1939" s="1186"/>
      <c r="L1939" s="1186"/>
      <c r="M1939" s="1186"/>
      <c r="N1939" s="1186"/>
      <c r="O1939" s="1186"/>
      <c r="P1939" s="1186"/>
      <c r="Q1939" s="1186"/>
      <c r="R1939" s="1186"/>
      <c r="S1939" s="1186"/>
      <c r="T1939" s="1186"/>
      <c r="U1939" s="1186"/>
      <c r="V1939" s="1186"/>
      <c r="W1939" s="1079"/>
      <c r="X1939" s="1079"/>
      <c r="Y1939" s="1079"/>
      <c r="Z1939" s="1079"/>
      <c r="AA1939" s="1079"/>
      <c r="AB1939" s="1079"/>
      <c r="AC1939" s="1079"/>
      <c r="AD1939" s="1080"/>
    </row>
    <row r="1940" spans="1:30" x14ac:dyDescent="0.2">
      <c r="A1940">
        <f t="shared" si="64"/>
        <v>51</v>
      </c>
      <c r="B1940">
        <v>1931</v>
      </c>
      <c r="C1940" s="1078"/>
      <c r="D1940" s="1077"/>
      <c r="E1940" s="1077"/>
      <c r="F1940" s="1079"/>
      <c r="G1940" s="1186"/>
      <c r="H1940" s="1186"/>
      <c r="I1940" s="1186"/>
      <c r="J1940" s="1186"/>
      <c r="K1940" s="1186"/>
      <c r="L1940" s="1186"/>
      <c r="M1940" s="1186"/>
      <c r="N1940" s="1186"/>
      <c r="O1940" s="1186"/>
      <c r="P1940" s="1186"/>
      <c r="Q1940" s="1186"/>
      <c r="R1940" s="1186"/>
      <c r="S1940" s="1186"/>
      <c r="T1940" s="1186"/>
      <c r="U1940" s="1186"/>
      <c r="V1940" s="1186"/>
      <c r="W1940" s="1079"/>
      <c r="X1940" s="1079"/>
      <c r="Y1940" s="1079"/>
      <c r="Z1940" s="1079"/>
      <c r="AA1940" s="1079"/>
      <c r="AB1940" s="1079"/>
      <c r="AC1940" s="1079"/>
      <c r="AD1940" s="1080"/>
    </row>
    <row r="1941" spans="1:30" x14ac:dyDescent="0.2">
      <c r="A1941">
        <f t="shared" si="64"/>
        <v>51</v>
      </c>
      <c r="B1941">
        <v>1932</v>
      </c>
      <c r="C1941" s="1078"/>
      <c r="D1941" s="1077"/>
      <c r="E1941" s="1077"/>
      <c r="F1941" s="1079"/>
      <c r="G1941" s="1186"/>
      <c r="H1941" s="1186"/>
      <c r="I1941" s="1186"/>
      <c r="J1941" s="1186"/>
      <c r="K1941" s="1186"/>
      <c r="L1941" s="1186"/>
      <c r="M1941" s="1186"/>
      <c r="N1941" s="1186"/>
      <c r="O1941" s="1186"/>
      <c r="P1941" s="1186"/>
      <c r="Q1941" s="1186"/>
      <c r="R1941" s="1186"/>
      <c r="S1941" s="1186"/>
      <c r="T1941" s="1186"/>
      <c r="U1941" s="1186"/>
      <c r="V1941" s="1186"/>
      <c r="W1941" s="1079"/>
      <c r="X1941" s="1079"/>
      <c r="Y1941" s="1079"/>
      <c r="Z1941" s="1079"/>
      <c r="AA1941" s="1079"/>
      <c r="AB1941" s="1079"/>
      <c r="AC1941" s="1079"/>
      <c r="AD1941" s="1080"/>
    </row>
    <row r="1942" spans="1:30" x14ac:dyDescent="0.2">
      <c r="A1942">
        <f t="shared" si="64"/>
        <v>51</v>
      </c>
      <c r="B1942">
        <v>1933</v>
      </c>
      <c r="C1942" s="1078"/>
      <c r="D1942" s="1077"/>
      <c r="E1942" s="1077"/>
      <c r="F1942" s="1079"/>
      <c r="G1942" s="1186"/>
      <c r="H1942" s="1186"/>
      <c r="I1942" s="1186"/>
      <c r="J1942" s="1186"/>
      <c r="K1942" s="1186"/>
      <c r="L1942" s="1186"/>
      <c r="M1942" s="1186"/>
      <c r="N1942" s="1186"/>
      <c r="O1942" s="1186"/>
      <c r="P1942" s="1186"/>
      <c r="Q1942" s="1186"/>
      <c r="R1942" s="1186"/>
      <c r="S1942" s="1186"/>
      <c r="T1942" s="1186"/>
      <c r="U1942" s="1186"/>
      <c r="V1942" s="1186"/>
      <c r="W1942" s="1079"/>
      <c r="X1942" s="1079"/>
      <c r="Y1942" s="1079"/>
      <c r="Z1942" s="1079"/>
      <c r="AA1942" s="1079"/>
      <c r="AB1942" s="1079"/>
      <c r="AC1942" s="1079"/>
      <c r="AD1942" s="1080"/>
    </row>
    <row r="1943" spans="1:30" x14ac:dyDescent="0.2">
      <c r="A1943">
        <f t="shared" si="64"/>
        <v>51</v>
      </c>
      <c r="B1943">
        <v>1934</v>
      </c>
      <c r="C1943" s="1078"/>
      <c r="D1943" s="1077"/>
      <c r="E1943" s="1077"/>
      <c r="F1943" s="1079"/>
      <c r="G1943" s="1186"/>
      <c r="H1943" s="1186"/>
      <c r="I1943" s="1186"/>
      <c r="J1943" s="1186"/>
      <c r="K1943" s="1186"/>
      <c r="L1943" s="1186"/>
      <c r="M1943" s="1186"/>
      <c r="N1943" s="1186"/>
      <c r="O1943" s="1186"/>
      <c r="P1943" s="1186"/>
      <c r="Q1943" s="1186"/>
      <c r="R1943" s="1186"/>
      <c r="S1943" s="1186"/>
      <c r="T1943" s="1186"/>
      <c r="U1943" s="1186"/>
      <c r="V1943" s="1186"/>
      <c r="W1943" s="1079"/>
      <c r="X1943" s="1079"/>
      <c r="Y1943" s="1079"/>
      <c r="Z1943" s="1079"/>
      <c r="AA1943" s="1079"/>
      <c r="AB1943" s="1079"/>
      <c r="AC1943" s="1079"/>
      <c r="AD1943" s="1080"/>
    </row>
    <row r="1944" spans="1:30" x14ac:dyDescent="0.2">
      <c r="A1944">
        <f t="shared" si="64"/>
        <v>51</v>
      </c>
      <c r="B1944">
        <v>1935</v>
      </c>
      <c r="C1944" s="1078"/>
      <c r="D1944" s="1077"/>
      <c r="E1944" s="1077"/>
      <c r="F1944" s="1079"/>
      <c r="G1944" s="1186"/>
      <c r="H1944" s="1186"/>
      <c r="I1944" s="1186"/>
      <c r="J1944" s="1186"/>
      <c r="K1944" s="1186"/>
      <c r="L1944" s="1186"/>
      <c r="M1944" s="1186"/>
      <c r="N1944" s="1186"/>
      <c r="O1944" s="1186"/>
      <c r="P1944" s="1186"/>
      <c r="Q1944" s="1186"/>
      <c r="R1944" s="1186"/>
      <c r="S1944" s="1186"/>
      <c r="T1944" s="1186"/>
      <c r="U1944" s="1186"/>
      <c r="V1944" s="1186"/>
      <c r="W1944" s="1079"/>
      <c r="X1944" s="1079"/>
      <c r="Y1944" s="1079"/>
      <c r="Z1944" s="1079"/>
      <c r="AA1944" s="1079"/>
      <c r="AB1944" s="1079"/>
      <c r="AC1944" s="1079"/>
      <c r="AD1944" s="1080"/>
    </row>
    <row r="1945" spans="1:30" x14ac:dyDescent="0.2">
      <c r="A1945">
        <f t="shared" si="64"/>
        <v>51</v>
      </c>
      <c r="B1945">
        <v>1936</v>
      </c>
      <c r="C1945" s="1078"/>
      <c r="D1945" s="1077"/>
      <c r="E1945" s="1077"/>
      <c r="F1945" s="1079"/>
      <c r="G1945" s="1186"/>
      <c r="H1945" s="1186"/>
      <c r="I1945" s="1186"/>
      <c r="J1945" s="1186"/>
      <c r="K1945" s="1186"/>
      <c r="L1945" s="1186"/>
      <c r="M1945" s="1186"/>
      <c r="N1945" s="1186"/>
      <c r="O1945" s="1186"/>
      <c r="P1945" s="1186"/>
      <c r="Q1945" s="1186"/>
      <c r="R1945" s="1186"/>
      <c r="S1945" s="1186"/>
      <c r="T1945" s="1186"/>
      <c r="U1945" s="1186"/>
      <c r="V1945" s="1186"/>
      <c r="W1945" s="1079"/>
      <c r="X1945" s="1079"/>
      <c r="Y1945" s="1079"/>
      <c r="Z1945" s="1079"/>
      <c r="AA1945" s="1079"/>
      <c r="AB1945" s="1079"/>
      <c r="AC1945" s="1079"/>
      <c r="AD1945" s="1080"/>
    </row>
    <row r="1946" spans="1:30" x14ac:dyDescent="0.2">
      <c r="A1946">
        <f t="shared" si="64"/>
        <v>51</v>
      </c>
      <c r="B1946">
        <v>1937</v>
      </c>
      <c r="C1946" s="1078"/>
      <c r="D1946" s="1077"/>
      <c r="E1946" s="1077"/>
      <c r="F1946" s="1079"/>
      <c r="G1946" s="1186"/>
      <c r="H1946" s="1186"/>
      <c r="I1946" s="1186"/>
      <c r="J1946" s="1186"/>
      <c r="K1946" s="1186"/>
      <c r="L1946" s="1186"/>
      <c r="M1946" s="1186"/>
      <c r="N1946" s="1186"/>
      <c r="O1946" s="1186"/>
      <c r="P1946" s="1186"/>
      <c r="Q1946" s="1186"/>
      <c r="R1946" s="1186"/>
      <c r="S1946" s="1186"/>
      <c r="T1946" s="1186"/>
      <c r="U1946" s="1186"/>
      <c r="V1946" s="1186"/>
      <c r="W1946" s="1079"/>
      <c r="X1946" s="1079"/>
      <c r="Y1946" s="1079"/>
      <c r="Z1946" s="1079"/>
      <c r="AA1946" s="1079"/>
      <c r="AB1946" s="1079"/>
      <c r="AC1946" s="1079"/>
      <c r="AD1946" s="1080"/>
    </row>
    <row r="1947" spans="1:30" x14ac:dyDescent="0.2">
      <c r="A1947">
        <f t="shared" si="64"/>
        <v>51</v>
      </c>
      <c r="B1947">
        <v>1938</v>
      </c>
      <c r="C1947" s="1078"/>
      <c r="D1947" s="1077"/>
      <c r="E1947" s="1077"/>
      <c r="F1947" s="1079"/>
      <c r="G1947" s="1186"/>
      <c r="H1947" s="1186"/>
      <c r="I1947" s="1186"/>
      <c r="J1947" s="1186"/>
      <c r="K1947" s="1186"/>
      <c r="L1947" s="1186"/>
      <c r="M1947" s="1186"/>
      <c r="N1947" s="1186"/>
      <c r="O1947" s="1186"/>
      <c r="P1947" s="1186"/>
      <c r="Q1947" s="1186"/>
      <c r="R1947" s="1186"/>
      <c r="S1947" s="1186"/>
      <c r="T1947" s="1186"/>
      <c r="U1947" s="1186"/>
      <c r="V1947" s="1186"/>
      <c r="W1947" s="1079"/>
      <c r="X1947" s="1079"/>
      <c r="Y1947" s="1079"/>
      <c r="Z1947" s="1079"/>
      <c r="AA1947" s="1079"/>
      <c r="AB1947" s="1079"/>
      <c r="AC1947" s="1079"/>
      <c r="AD1947" s="1080"/>
    </row>
    <row r="1948" spans="1:30" x14ac:dyDescent="0.2">
      <c r="A1948">
        <f t="shared" si="64"/>
        <v>51</v>
      </c>
      <c r="B1948">
        <v>1939</v>
      </c>
      <c r="C1948" s="1078"/>
      <c r="D1948" s="1077"/>
      <c r="E1948" s="1077"/>
      <c r="F1948" s="1079"/>
      <c r="G1948" s="1186"/>
      <c r="H1948" s="1186"/>
      <c r="I1948" s="1186"/>
      <c r="J1948" s="1186"/>
      <c r="K1948" s="1186"/>
      <c r="L1948" s="1186"/>
      <c r="M1948" s="1186"/>
      <c r="N1948" s="1186"/>
      <c r="O1948" s="1186"/>
      <c r="P1948" s="1186"/>
      <c r="Q1948" s="1186"/>
      <c r="R1948" s="1186"/>
      <c r="S1948" s="1186"/>
      <c r="T1948" s="1186"/>
      <c r="U1948" s="1186"/>
      <c r="V1948" s="1186"/>
      <c r="W1948" s="1079"/>
      <c r="X1948" s="1079"/>
      <c r="Y1948" s="1079"/>
      <c r="Z1948" s="1079"/>
      <c r="AA1948" s="1079"/>
      <c r="AB1948" s="1079"/>
      <c r="AC1948" s="1079"/>
      <c r="AD1948" s="1080"/>
    </row>
    <row r="1949" spans="1:30" x14ac:dyDescent="0.2">
      <c r="A1949">
        <f t="shared" si="64"/>
        <v>51</v>
      </c>
      <c r="B1949">
        <v>1940</v>
      </c>
      <c r="C1949" s="1078"/>
      <c r="D1949" s="1077"/>
      <c r="E1949" s="1077"/>
      <c r="F1949" s="1079"/>
      <c r="G1949" s="1186"/>
      <c r="H1949" s="1186"/>
      <c r="I1949" s="1186"/>
      <c r="J1949" s="1186"/>
      <c r="K1949" s="1186"/>
      <c r="L1949" s="1186"/>
      <c r="M1949" s="1186"/>
      <c r="N1949" s="1186"/>
      <c r="O1949" s="1186"/>
      <c r="P1949" s="1186"/>
      <c r="Q1949" s="1186"/>
      <c r="R1949" s="1186"/>
      <c r="S1949" s="1186"/>
      <c r="T1949" s="1186"/>
      <c r="U1949" s="1186"/>
      <c r="V1949" s="1186"/>
      <c r="W1949" s="1079"/>
      <c r="X1949" s="1079"/>
      <c r="Y1949" s="1079"/>
      <c r="Z1949" s="1079"/>
      <c r="AA1949" s="1079"/>
      <c r="AB1949" s="1079"/>
      <c r="AC1949" s="1079"/>
      <c r="AD1949" s="1080"/>
    </row>
    <row r="1950" spans="1:30" x14ac:dyDescent="0.2">
      <c r="A1950">
        <f t="shared" si="64"/>
        <v>51</v>
      </c>
      <c r="B1950">
        <v>1941</v>
      </c>
      <c r="C1950" s="1078"/>
      <c r="D1950" s="1077"/>
      <c r="E1950" s="1077"/>
      <c r="F1950" s="1079"/>
      <c r="G1950" s="1186"/>
      <c r="H1950" s="1186"/>
      <c r="I1950" s="1186"/>
      <c r="J1950" s="1186"/>
      <c r="K1950" s="1186"/>
      <c r="L1950" s="1186"/>
      <c r="M1950" s="1186"/>
      <c r="N1950" s="1186"/>
      <c r="O1950" s="1186"/>
      <c r="P1950" s="1186"/>
      <c r="Q1950" s="1186"/>
      <c r="R1950" s="1186"/>
      <c r="S1950" s="1186"/>
      <c r="T1950" s="1186"/>
      <c r="U1950" s="1186"/>
      <c r="V1950" s="1186"/>
      <c r="W1950" s="1079"/>
      <c r="X1950" s="1079"/>
      <c r="Y1950" s="1079"/>
      <c r="Z1950" s="1079"/>
      <c r="AA1950" s="1079"/>
      <c r="AB1950" s="1079"/>
      <c r="AC1950" s="1079"/>
      <c r="AD1950" s="1080"/>
    </row>
    <row r="1951" spans="1:30" x14ac:dyDescent="0.2">
      <c r="A1951">
        <f t="shared" si="64"/>
        <v>51</v>
      </c>
      <c r="B1951">
        <v>1942</v>
      </c>
      <c r="C1951" s="1078"/>
      <c r="D1951" s="1077"/>
      <c r="E1951" s="1077"/>
      <c r="F1951" s="1079"/>
      <c r="G1951" s="1186"/>
      <c r="H1951" s="1186"/>
      <c r="I1951" s="1186"/>
      <c r="J1951" s="1186"/>
      <c r="K1951" s="1186"/>
      <c r="L1951" s="1186"/>
      <c r="M1951" s="1186"/>
      <c r="N1951" s="1186"/>
      <c r="O1951" s="1186"/>
      <c r="P1951" s="1186"/>
      <c r="Q1951" s="1186"/>
      <c r="R1951" s="1186"/>
      <c r="S1951" s="1186"/>
      <c r="T1951" s="1186"/>
      <c r="U1951" s="1186"/>
      <c r="V1951" s="1186"/>
      <c r="W1951" s="1079"/>
      <c r="X1951" s="1079"/>
      <c r="Y1951" s="1079"/>
      <c r="Z1951" s="1079"/>
      <c r="AA1951" s="1079"/>
      <c r="AB1951" s="1079"/>
      <c r="AC1951" s="1079"/>
      <c r="AD1951" s="1080"/>
    </row>
    <row r="1952" spans="1:30" x14ac:dyDescent="0.2">
      <c r="A1952">
        <f t="shared" si="64"/>
        <v>51</v>
      </c>
      <c r="B1952">
        <v>1943</v>
      </c>
      <c r="C1952" s="1078"/>
      <c r="D1952" s="1077"/>
      <c r="E1952" s="1077"/>
      <c r="F1952" s="1079"/>
      <c r="G1952" s="1186"/>
      <c r="H1952" s="1186"/>
      <c r="I1952" s="1186"/>
      <c r="J1952" s="1186"/>
      <c r="K1952" s="1186"/>
      <c r="L1952" s="1186"/>
      <c r="M1952" s="1186"/>
      <c r="N1952" s="1186"/>
      <c r="O1952" s="1186"/>
      <c r="P1952" s="1186"/>
      <c r="Q1952" s="1186"/>
      <c r="R1952" s="1186"/>
      <c r="S1952" s="1186"/>
      <c r="T1952" s="1186"/>
      <c r="U1952" s="1186"/>
      <c r="V1952" s="1186"/>
      <c r="W1952" s="1079"/>
      <c r="X1952" s="1079"/>
      <c r="Y1952" s="1079"/>
      <c r="Z1952" s="1079"/>
      <c r="AA1952" s="1079"/>
      <c r="AB1952" s="1079"/>
      <c r="AC1952" s="1079"/>
      <c r="AD1952" s="1080"/>
    </row>
    <row r="1953" spans="1:30" x14ac:dyDescent="0.2">
      <c r="A1953">
        <f t="shared" si="64"/>
        <v>51</v>
      </c>
      <c r="B1953">
        <v>1944</v>
      </c>
      <c r="C1953" s="1078"/>
      <c r="D1953" s="1077"/>
      <c r="E1953" s="1077"/>
      <c r="F1953" s="1079"/>
      <c r="G1953" s="1186"/>
      <c r="H1953" s="1186"/>
      <c r="I1953" s="1186"/>
      <c r="J1953" s="1186"/>
      <c r="K1953" s="1186"/>
      <c r="L1953" s="1186"/>
      <c r="M1953" s="1186"/>
      <c r="N1953" s="1186"/>
      <c r="O1953" s="1186"/>
      <c r="P1953" s="1186"/>
      <c r="Q1953" s="1186"/>
      <c r="R1953" s="1186"/>
      <c r="S1953" s="1186"/>
      <c r="T1953" s="1186"/>
      <c r="U1953" s="1186"/>
      <c r="V1953" s="1186"/>
      <c r="W1953" s="1079"/>
      <c r="X1953" s="1079"/>
      <c r="Y1953" s="1079"/>
      <c r="Z1953" s="1079"/>
      <c r="AA1953" s="1079"/>
      <c r="AB1953" s="1079"/>
      <c r="AC1953" s="1079"/>
      <c r="AD1953" s="1080"/>
    </row>
    <row r="1954" spans="1:30" x14ac:dyDescent="0.2">
      <c r="A1954">
        <f t="shared" si="64"/>
        <v>51</v>
      </c>
      <c r="B1954">
        <v>1945</v>
      </c>
      <c r="C1954" s="1078"/>
      <c r="D1954" s="1077"/>
      <c r="E1954" s="1077"/>
      <c r="F1954" s="1079"/>
      <c r="G1954" s="1186"/>
      <c r="H1954" s="1186"/>
      <c r="I1954" s="1186"/>
      <c r="J1954" s="1186"/>
      <c r="K1954" s="1186"/>
      <c r="L1954" s="1186"/>
      <c r="M1954" s="1186"/>
      <c r="N1954" s="1186"/>
      <c r="O1954" s="1186"/>
      <c r="P1954" s="1186"/>
      <c r="Q1954" s="1186"/>
      <c r="R1954" s="1186"/>
      <c r="S1954" s="1186"/>
      <c r="T1954" s="1186"/>
      <c r="U1954" s="1186"/>
      <c r="V1954" s="1186"/>
      <c r="W1954" s="1079"/>
      <c r="X1954" s="1079"/>
      <c r="Y1954" s="1079"/>
      <c r="Z1954" s="1079"/>
      <c r="AA1954" s="1079"/>
      <c r="AB1954" s="1079"/>
      <c r="AC1954" s="1079"/>
      <c r="AD1954" s="1080"/>
    </row>
    <row r="1955" spans="1:30" x14ac:dyDescent="0.2">
      <c r="A1955">
        <f t="shared" si="64"/>
        <v>51</v>
      </c>
      <c r="B1955">
        <v>1946</v>
      </c>
      <c r="C1955" s="1078"/>
      <c r="D1955" s="1077"/>
      <c r="E1955" s="1077"/>
      <c r="F1955" s="1079"/>
      <c r="G1955" s="1186"/>
      <c r="H1955" s="1186"/>
      <c r="I1955" s="1186"/>
      <c r="J1955" s="1186"/>
      <c r="K1955" s="1186"/>
      <c r="L1955" s="1186"/>
      <c r="M1955" s="1186"/>
      <c r="N1955" s="1186"/>
      <c r="O1955" s="1186"/>
      <c r="P1955" s="1186"/>
      <c r="Q1955" s="1186"/>
      <c r="R1955" s="1186"/>
      <c r="S1955" s="1186"/>
      <c r="T1955" s="1186"/>
      <c r="U1955" s="1186"/>
      <c r="V1955" s="1186"/>
      <c r="W1955" s="1079"/>
      <c r="X1955" s="1079"/>
      <c r="Y1955" s="1079"/>
      <c r="Z1955" s="1079"/>
      <c r="AA1955" s="1079"/>
      <c r="AB1955" s="1079"/>
      <c r="AC1955" s="1079"/>
      <c r="AD1955" s="1080"/>
    </row>
    <row r="1956" spans="1:30" x14ac:dyDescent="0.2">
      <c r="A1956">
        <f t="shared" si="64"/>
        <v>51</v>
      </c>
      <c r="B1956">
        <v>1947</v>
      </c>
      <c r="C1956" s="1078"/>
      <c r="D1956" s="1077"/>
      <c r="E1956" s="1077"/>
      <c r="F1956" s="1079"/>
      <c r="G1956" s="1079"/>
      <c r="H1956" s="1079"/>
      <c r="I1956" s="1079"/>
      <c r="J1956" s="1079"/>
      <c r="K1956" s="1079"/>
      <c r="L1956" s="1079"/>
      <c r="M1956" s="1079"/>
      <c r="N1956" s="1079"/>
      <c r="O1956" s="1079"/>
      <c r="P1956" s="1079"/>
      <c r="Q1956" s="1079"/>
      <c r="R1956" s="1079"/>
      <c r="S1956" s="1079"/>
      <c r="T1956" s="1079"/>
      <c r="U1956" s="1079"/>
      <c r="V1956" s="1079"/>
      <c r="W1956" s="1186"/>
      <c r="X1956" s="1186"/>
      <c r="Y1956" s="1186"/>
      <c r="Z1956" s="1186"/>
      <c r="AA1956" s="1186"/>
      <c r="AB1956" s="1186"/>
      <c r="AC1956" s="1186"/>
      <c r="AD1956" s="1187"/>
    </row>
    <row r="1957" spans="1:30" x14ac:dyDescent="0.2">
      <c r="A1957">
        <f t="shared" si="64"/>
        <v>51</v>
      </c>
      <c r="B1957">
        <v>1948</v>
      </c>
      <c r="C1957" s="1078"/>
      <c r="D1957" s="1077"/>
      <c r="E1957" s="1077"/>
      <c r="F1957" s="1079"/>
      <c r="G1957" s="1079"/>
      <c r="H1957" s="1079"/>
      <c r="I1957" s="1079"/>
      <c r="J1957" s="1079"/>
      <c r="K1957" s="1079"/>
      <c r="L1957" s="1079"/>
      <c r="M1957" s="1079"/>
      <c r="N1957" s="1079"/>
      <c r="O1957" s="1079"/>
      <c r="P1957" s="1079"/>
      <c r="Q1957" s="1079"/>
      <c r="R1957" s="1079"/>
      <c r="S1957" s="1079"/>
      <c r="T1957" s="1079"/>
      <c r="U1957" s="1079"/>
      <c r="V1957" s="1079"/>
      <c r="W1957" s="1186"/>
      <c r="X1957" s="1186"/>
      <c r="Y1957" s="1186"/>
      <c r="Z1957" s="1186"/>
      <c r="AA1957" s="1186"/>
      <c r="AB1957" s="1186"/>
      <c r="AC1957" s="1186"/>
      <c r="AD1957" s="1187"/>
    </row>
    <row r="1958" spans="1:30" x14ac:dyDescent="0.2">
      <c r="A1958">
        <f t="shared" si="64"/>
        <v>51</v>
      </c>
      <c r="B1958">
        <v>1949</v>
      </c>
      <c r="C1958" s="1078"/>
      <c r="D1958" s="1077"/>
      <c r="E1958" s="1077"/>
      <c r="F1958" s="1079"/>
      <c r="G1958" s="1079"/>
      <c r="H1958" s="1079"/>
      <c r="I1958" s="1079"/>
      <c r="J1958" s="1079"/>
      <c r="K1958" s="1079"/>
      <c r="L1958" s="1079"/>
      <c r="M1958" s="1079"/>
      <c r="N1958" s="1079"/>
      <c r="O1958" s="1079"/>
      <c r="P1958" s="1079"/>
      <c r="Q1958" s="1079"/>
      <c r="R1958" s="1079"/>
      <c r="S1958" s="1079"/>
      <c r="T1958" s="1079"/>
      <c r="U1958" s="1079"/>
      <c r="V1958" s="1079"/>
      <c r="W1958" s="1186"/>
      <c r="X1958" s="1186"/>
      <c r="Y1958" s="1186"/>
      <c r="Z1958" s="1186"/>
      <c r="AA1958" s="1186"/>
      <c r="AB1958" s="1186"/>
      <c r="AC1958" s="1186"/>
      <c r="AD1958" s="1187"/>
    </row>
    <row r="1959" spans="1:30" x14ac:dyDescent="0.2">
      <c r="A1959">
        <f t="shared" si="64"/>
        <v>51</v>
      </c>
      <c r="B1959">
        <v>1950</v>
      </c>
      <c r="C1959" s="1078"/>
      <c r="D1959" s="1077"/>
      <c r="E1959" s="1077"/>
      <c r="F1959" s="1079"/>
      <c r="G1959" s="1079"/>
      <c r="H1959" s="1079"/>
      <c r="I1959" s="1079"/>
      <c r="J1959" s="1079"/>
      <c r="K1959" s="1079"/>
      <c r="L1959" s="1079"/>
      <c r="M1959" s="1079"/>
      <c r="N1959" s="1079"/>
      <c r="O1959" s="1079"/>
      <c r="P1959" s="1079"/>
      <c r="Q1959" s="1079"/>
      <c r="R1959" s="1079"/>
      <c r="S1959" s="1079"/>
      <c r="T1959" s="1079"/>
      <c r="U1959" s="1079"/>
      <c r="V1959" s="1079"/>
      <c r="W1959" s="1186"/>
      <c r="X1959" s="1186"/>
      <c r="Y1959" s="1186"/>
      <c r="Z1959" s="1186"/>
      <c r="AA1959" s="1186"/>
      <c r="AB1959" s="1186"/>
      <c r="AC1959" s="1186"/>
      <c r="AD1959" s="1187"/>
    </row>
    <row r="1960" spans="1:30" x14ac:dyDescent="0.2">
      <c r="A1960">
        <f t="shared" si="64"/>
        <v>51</v>
      </c>
      <c r="B1960">
        <v>1951</v>
      </c>
      <c r="C1960" s="1078"/>
      <c r="D1960" s="1077"/>
      <c r="E1960" s="1077"/>
      <c r="F1960" s="1079"/>
      <c r="G1960" s="1079"/>
      <c r="H1960" s="1079"/>
      <c r="I1960" s="1079"/>
      <c r="J1960" s="1079"/>
      <c r="K1960" s="1079"/>
      <c r="L1960" s="1079"/>
      <c r="M1960" s="1079"/>
      <c r="N1960" s="1079"/>
      <c r="O1960" s="1079"/>
      <c r="P1960" s="1079"/>
      <c r="Q1960" s="1079"/>
      <c r="R1960" s="1079"/>
      <c r="S1960" s="1079"/>
      <c r="T1960" s="1079"/>
      <c r="U1960" s="1079"/>
      <c r="V1960" s="1079"/>
      <c r="W1960" s="1186"/>
      <c r="X1960" s="1186"/>
      <c r="Y1960" s="1186"/>
      <c r="Z1960" s="1186"/>
      <c r="AA1960" s="1186"/>
      <c r="AB1960" s="1186"/>
      <c r="AC1960" s="1186"/>
      <c r="AD1960" s="1187"/>
    </row>
    <row r="1961" spans="1:30" x14ac:dyDescent="0.2">
      <c r="A1961">
        <f t="shared" si="64"/>
        <v>51</v>
      </c>
      <c r="B1961">
        <v>1952</v>
      </c>
      <c r="C1961" s="1078"/>
      <c r="D1961" s="1077"/>
      <c r="E1961" s="1077"/>
      <c r="F1961" s="1079"/>
      <c r="G1961" s="1079"/>
      <c r="H1961" s="1079"/>
      <c r="I1961" s="1079"/>
      <c r="J1961" s="1079"/>
      <c r="K1961" s="1079"/>
      <c r="L1961" s="1079"/>
      <c r="M1961" s="1079"/>
      <c r="N1961" s="1079"/>
      <c r="O1961" s="1079"/>
      <c r="P1961" s="1079"/>
      <c r="Q1961" s="1079"/>
      <c r="R1961" s="1079"/>
      <c r="S1961" s="1079"/>
      <c r="T1961" s="1079"/>
      <c r="U1961" s="1079"/>
      <c r="V1961" s="1079"/>
      <c r="W1961" s="1186"/>
      <c r="X1961" s="1186"/>
      <c r="Y1961" s="1186"/>
      <c r="Z1961" s="1186"/>
      <c r="AA1961" s="1186"/>
      <c r="AB1961" s="1186"/>
      <c r="AC1961" s="1186"/>
      <c r="AD1961" s="1187"/>
    </row>
    <row r="1962" spans="1:30" x14ac:dyDescent="0.2">
      <c r="A1962">
        <f t="shared" si="64"/>
        <v>51</v>
      </c>
      <c r="B1962">
        <v>1953</v>
      </c>
      <c r="C1962" s="1078"/>
      <c r="D1962" s="1077"/>
      <c r="E1962" s="1077"/>
      <c r="F1962" s="1079"/>
      <c r="G1962" s="1079"/>
      <c r="H1962" s="1079"/>
      <c r="I1962" s="1079"/>
      <c r="J1962" s="1079"/>
      <c r="K1962" s="1079"/>
      <c r="L1962" s="1079"/>
      <c r="M1962" s="1079"/>
      <c r="N1962" s="1079"/>
      <c r="O1962" s="1079"/>
      <c r="P1962" s="1079"/>
      <c r="Q1962" s="1079"/>
      <c r="R1962" s="1079"/>
      <c r="S1962" s="1079"/>
      <c r="T1962" s="1079"/>
      <c r="U1962" s="1079"/>
      <c r="V1962" s="1079"/>
      <c r="W1962" s="1186"/>
      <c r="X1962" s="1186"/>
      <c r="Y1962" s="1186"/>
      <c r="Z1962" s="1186"/>
      <c r="AA1962" s="1186"/>
      <c r="AB1962" s="1186"/>
      <c r="AC1962" s="1186"/>
      <c r="AD1962" s="1187"/>
    </row>
    <row r="1963" spans="1:30" x14ac:dyDescent="0.2">
      <c r="A1963">
        <f t="shared" si="64"/>
        <v>51</v>
      </c>
      <c r="B1963">
        <v>1954</v>
      </c>
      <c r="C1963" s="1078"/>
      <c r="D1963" s="1077"/>
      <c r="E1963" s="1077"/>
      <c r="F1963" s="1079"/>
      <c r="G1963" s="1079"/>
      <c r="H1963" s="1079"/>
      <c r="I1963" s="1079"/>
      <c r="J1963" s="1079"/>
      <c r="K1963" s="1079"/>
      <c r="L1963" s="1079"/>
      <c r="M1963" s="1079"/>
      <c r="N1963" s="1079"/>
      <c r="O1963" s="1079"/>
      <c r="P1963" s="1079"/>
      <c r="Q1963" s="1079"/>
      <c r="R1963" s="1079"/>
      <c r="S1963" s="1079"/>
      <c r="T1963" s="1079"/>
      <c r="U1963" s="1079"/>
      <c r="V1963" s="1079"/>
      <c r="W1963" s="1186"/>
      <c r="X1963" s="1186"/>
      <c r="Y1963" s="1186"/>
      <c r="Z1963" s="1186"/>
      <c r="AA1963" s="1186"/>
      <c r="AB1963" s="1186"/>
      <c r="AC1963" s="1186"/>
      <c r="AD1963" s="1187"/>
    </row>
    <row r="1964" spans="1:30" x14ac:dyDescent="0.2">
      <c r="A1964">
        <f t="shared" si="64"/>
        <v>51</v>
      </c>
      <c r="B1964">
        <v>1955</v>
      </c>
      <c r="C1964" s="1078"/>
      <c r="D1964" s="1077"/>
      <c r="E1964" s="1077"/>
      <c r="F1964" s="1079"/>
      <c r="G1964" s="1079"/>
      <c r="H1964" s="1079"/>
      <c r="I1964" s="1079"/>
      <c r="J1964" s="1079"/>
      <c r="K1964" s="1079"/>
      <c r="L1964" s="1079"/>
      <c r="M1964" s="1079"/>
      <c r="N1964" s="1079"/>
      <c r="O1964" s="1079"/>
      <c r="P1964" s="1079"/>
      <c r="Q1964" s="1079"/>
      <c r="R1964" s="1079"/>
      <c r="S1964" s="1079"/>
      <c r="T1964" s="1079"/>
      <c r="U1964" s="1079"/>
      <c r="V1964" s="1079"/>
      <c r="W1964" s="1186"/>
      <c r="X1964" s="1186"/>
      <c r="Y1964" s="1186"/>
      <c r="Z1964" s="1186"/>
      <c r="AA1964" s="1186"/>
      <c r="AB1964" s="1186"/>
      <c r="AC1964" s="1186"/>
      <c r="AD1964" s="1187"/>
    </row>
    <row r="1965" spans="1:30" x14ac:dyDescent="0.2">
      <c r="A1965">
        <f t="shared" si="64"/>
        <v>51</v>
      </c>
      <c r="B1965">
        <v>1956</v>
      </c>
      <c r="C1965" s="1078"/>
      <c r="D1965" s="1077"/>
      <c r="E1965" s="1077"/>
      <c r="F1965" s="1079"/>
      <c r="G1965" s="1079"/>
      <c r="H1965" s="1079"/>
      <c r="I1965" s="1079"/>
      <c r="J1965" s="1079"/>
      <c r="K1965" s="1079"/>
      <c r="L1965" s="1079"/>
      <c r="M1965" s="1079"/>
      <c r="N1965" s="1079"/>
      <c r="O1965" s="1079"/>
      <c r="P1965" s="1079"/>
      <c r="Q1965" s="1079"/>
      <c r="R1965" s="1079"/>
      <c r="S1965" s="1079"/>
      <c r="T1965" s="1079"/>
      <c r="U1965" s="1079"/>
      <c r="V1965" s="1079"/>
      <c r="W1965" s="1186"/>
      <c r="X1965" s="1186"/>
      <c r="Y1965" s="1186"/>
      <c r="Z1965" s="1186"/>
      <c r="AA1965" s="1186"/>
      <c r="AB1965" s="1186"/>
      <c r="AC1965" s="1186"/>
      <c r="AD1965" s="1187"/>
    </row>
    <row r="1966" spans="1:30" x14ac:dyDescent="0.2">
      <c r="A1966">
        <f t="shared" si="64"/>
        <v>51</v>
      </c>
      <c r="B1966">
        <v>1957</v>
      </c>
      <c r="C1966" s="1078"/>
      <c r="D1966" s="1077"/>
      <c r="E1966" s="1077"/>
      <c r="F1966" s="1079"/>
      <c r="G1966" s="1079"/>
      <c r="H1966" s="1079"/>
      <c r="I1966" s="1079"/>
      <c r="J1966" s="1079"/>
      <c r="K1966" s="1079"/>
      <c r="L1966" s="1079"/>
      <c r="M1966" s="1079"/>
      <c r="N1966" s="1079"/>
      <c r="O1966" s="1079"/>
      <c r="P1966" s="1079"/>
      <c r="Q1966" s="1079"/>
      <c r="R1966" s="1079"/>
      <c r="S1966" s="1079"/>
      <c r="T1966" s="1079"/>
      <c r="U1966" s="1079"/>
      <c r="V1966" s="1079"/>
      <c r="W1966" s="1186"/>
      <c r="X1966" s="1186"/>
      <c r="Y1966" s="1186"/>
      <c r="Z1966" s="1186"/>
      <c r="AA1966" s="1186"/>
      <c r="AB1966" s="1186"/>
      <c r="AC1966" s="1186"/>
      <c r="AD1966" s="1187"/>
    </row>
    <row r="1967" spans="1:30" x14ac:dyDescent="0.2">
      <c r="A1967">
        <f t="shared" si="64"/>
        <v>51</v>
      </c>
      <c r="B1967">
        <v>1958</v>
      </c>
      <c r="C1967" s="1078"/>
      <c r="D1967" s="1077"/>
      <c r="E1967" s="1077"/>
      <c r="F1967" s="1079"/>
      <c r="G1967" s="1079"/>
      <c r="H1967" s="1079"/>
      <c r="I1967" s="1079"/>
      <c r="J1967" s="1079"/>
      <c r="K1967" s="1079"/>
      <c r="L1967" s="1079"/>
      <c r="M1967" s="1079"/>
      <c r="N1967" s="1079"/>
      <c r="O1967" s="1079"/>
      <c r="P1967" s="1079"/>
      <c r="Q1967" s="1079"/>
      <c r="R1967" s="1079"/>
      <c r="S1967" s="1079"/>
      <c r="T1967" s="1079"/>
      <c r="U1967" s="1079"/>
      <c r="V1967" s="1079"/>
      <c r="W1967" s="1186"/>
      <c r="X1967" s="1186"/>
      <c r="Y1967" s="1186"/>
      <c r="Z1967" s="1186"/>
      <c r="AA1967" s="1186"/>
      <c r="AB1967" s="1186"/>
      <c r="AC1967" s="1186"/>
      <c r="AD1967" s="1187"/>
    </row>
    <row r="1968" spans="1:30" x14ac:dyDescent="0.2">
      <c r="A1968">
        <f t="shared" si="64"/>
        <v>51</v>
      </c>
      <c r="B1968">
        <v>1959</v>
      </c>
      <c r="C1968" s="1078"/>
      <c r="D1968" s="1077"/>
      <c r="E1968" s="1077"/>
      <c r="F1968" s="1079"/>
      <c r="G1968" s="1079"/>
      <c r="H1968" s="1079"/>
      <c r="I1968" s="1079"/>
      <c r="J1968" s="1079"/>
      <c r="K1968" s="1079"/>
      <c r="L1968" s="1079"/>
      <c r="M1968" s="1079"/>
      <c r="N1968" s="1079"/>
      <c r="O1968" s="1079"/>
      <c r="P1968" s="1079"/>
      <c r="Q1968" s="1079"/>
      <c r="R1968" s="1079"/>
      <c r="S1968" s="1079"/>
      <c r="T1968" s="1079"/>
      <c r="U1968" s="1079"/>
      <c r="V1968" s="1079"/>
      <c r="W1968" s="1186"/>
      <c r="X1968" s="1186"/>
      <c r="Y1968" s="1186"/>
      <c r="Z1968" s="1186"/>
      <c r="AA1968" s="1186"/>
      <c r="AB1968" s="1186"/>
      <c r="AC1968" s="1186"/>
      <c r="AD1968" s="1187"/>
    </row>
    <row r="1969" spans="1:30" x14ac:dyDescent="0.2">
      <c r="A1969">
        <f t="shared" si="64"/>
        <v>51</v>
      </c>
      <c r="B1969">
        <v>1960</v>
      </c>
      <c r="C1969" s="1078"/>
      <c r="D1969" s="1077"/>
      <c r="E1969" s="1077"/>
      <c r="F1969" s="1079"/>
      <c r="G1969" s="1079"/>
      <c r="H1969" s="1079"/>
      <c r="I1969" s="1079"/>
      <c r="J1969" s="1079"/>
      <c r="K1969" s="1079"/>
      <c r="L1969" s="1079"/>
      <c r="M1969" s="1079"/>
      <c r="N1969" s="1079"/>
      <c r="O1969" s="1079"/>
      <c r="P1969" s="1079"/>
      <c r="Q1969" s="1079"/>
      <c r="R1969" s="1079"/>
      <c r="S1969" s="1079"/>
      <c r="T1969" s="1079"/>
      <c r="U1969" s="1079"/>
      <c r="V1969" s="1079"/>
      <c r="W1969" s="1186"/>
      <c r="X1969" s="1186"/>
      <c r="Y1969" s="1186"/>
      <c r="Z1969" s="1186"/>
      <c r="AA1969" s="1186"/>
      <c r="AB1969" s="1186"/>
      <c r="AC1969" s="1186"/>
      <c r="AD1969" s="1187"/>
    </row>
    <row r="1970" spans="1:30" x14ac:dyDescent="0.2">
      <c r="A1970">
        <f t="shared" si="64"/>
        <v>51</v>
      </c>
      <c r="B1970">
        <v>1961</v>
      </c>
      <c r="C1970" s="1078"/>
      <c r="D1970" s="1077"/>
      <c r="E1970" s="1077"/>
      <c r="F1970" s="1079"/>
      <c r="G1970" s="1079"/>
      <c r="H1970" s="1079"/>
      <c r="I1970" s="1079"/>
      <c r="J1970" s="1079"/>
      <c r="K1970" s="1079"/>
      <c r="L1970" s="1079"/>
      <c r="M1970" s="1079"/>
      <c r="N1970" s="1079"/>
      <c r="O1970" s="1079"/>
      <c r="P1970" s="1079"/>
      <c r="Q1970" s="1079"/>
      <c r="R1970" s="1079"/>
      <c r="S1970" s="1079"/>
      <c r="T1970" s="1079"/>
      <c r="U1970" s="1079"/>
      <c r="V1970" s="1079"/>
      <c r="W1970" s="1186"/>
      <c r="X1970" s="1186"/>
      <c r="Y1970" s="1186"/>
      <c r="Z1970" s="1186"/>
      <c r="AA1970" s="1186"/>
      <c r="AB1970" s="1186"/>
      <c r="AC1970" s="1186"/>
      <c r="AD1970" s="1187"/>
    </row>
    <row r="1971" spans="1:30" x14ac:dyDescent="0.2">
      <c r="A1971">
        <f t="shared" si="64"/>
        <v>51</v>
      </c>
      <c r="B1971">
        <v>1962</v>
      </c>
      <c r="C1971" s="1078"/>
      <c r="D1971" s="1077"/>
      <c r="E1971" s="1077"/>
      <c r="F1971" s="1079"/>
      <c r="G1971" s="1079"/>
      <c r="H1971" s="1079"/>
      <c r="I1971" s="1079"/>
      <c r="J1971" s="1079"/>
      <c r="K1971" s="1079"/>
      <c r="L1971" s="1079"/>
      <c r="M1971" s="1079"/>
      <c r="N1971" s="1079"/>
      <c r="O1971" s="1079"/>
      <c r="P1971" s="1079"/>
      <c r="Q1971" s="1079"/>
      <c r="R1971" s="1079"/>
      <c r="S1971" s="1079"/>
      <c r="T1971" s="1079"/>
      <c r="U1971" s="1079"/>
      <c r="V1971" s="1079"/>
      <c r="W1971" s="1186"/>
      <c r="X1971" s="1186"/>
      <c r="Y1971" s="1186"/>
      <c r="Z1971" s="1186"/>
      <c r="AA1971" s="1186"/>
      <c r="AB1971" s="1186"/>
      <c r="AC1971" s="1186"/>
      <c r="AD1971" s="1187"/>
    </row>
    <row r="1972" spans="1:30" x14ac:dyDescent="0.2">
      <c r="A1972">
        <f t="shared" si="64"/>
        <v>51</v>
      </c>
      <c r="B1972">
        <v>1963</v>
      </c>
      <c r="C1972" s="1078"/>
      <c r="D1972" s="1077"/>
      <c r="E1972" s="1077"/>
      <c r="F1972" s="1079"/>
      <c r="G1972" s="1079"/>
      <c r="H1972" s="1079"/>
      <c r="I1972" s="1079"/>
      <c r="J1972" s="1079"/>
      <c r="K1972" s="1079"/>
      <c r="L1972" s="1079"/>
      <c r="M1972" s="1079"/>
      <c r="N1972" s="1079"/>
      <c r="O1972" s="1079"/>
      <c r="P1972" s="1079"/>
      <c r="Q1972" s="1079"/>
      <c r="R1972" s="1079"/>
      <c r="S1972" s="1079"/>
      <c r="T1972" s="1079"/>
      <c r="U1972" s="1079"/>
      <c r="V1972" s="1079"/>
      <c r="W1972" s="1186"/>
      <c r="X1972" s="1186"/>
      <c r="Y1972" s="1186"/>
      <c r="Z1972" s="1186"/>
      <c r="AA1972" s="1186"/>
      <c r="AB1972" s="1186"/>
      <c r="AC1972" s="1186"/>
      <c r="AD1972" s="1187"/>
    </row>
    <row r="1973" spans="1:30" x14ac:dyDescent="0.2">
      <c r="A1973">
        <f t="shared" si="64"/>
        <v>51</v>
      </c>
      <c r="B1973">
        <v>1964</v>
      </c>
      <c r="C1973" s="1078"/>
      <c r="D1973" s="1077"/>
      <c r="E1973" s="1077"/>
      <c r="F1973" s="1079"/>
      <c r="G1973" s="1079"/>
      <c r="H1973" s="1079"/>
      <c r="I1973" s="1079"/>
      <c r="J1973" s="1079"/>
      <c r="K1973" s="1079"/>
      <c r="L1973" s="1079"/>
      <c r="M1973" s="1079"/>
      <c r="N1973" s="1079"/>
      <c r="O1973" s="1079"/>
      <c r="P1973" s="1079"/>
      <c r="Q1973" s="1079"/>
      <c r="R1973" s="1079"/>
      <c r="S1973" s="1079"/>
      <c r="T1973" s="1079"/>
      <c r="U1973" s="1079"/>
      <c r="V1973" s="1079"/>
      <c r="W1973" s="1186"/>
      <c r="X1973" s="1186"/>
      <c r="Y1973" s="1186"/>
      <c r="Z1973" s="1186"/>
      <c r="AA1973" s="1186"/>
      <c r="AB1973" s="1186"/>
      <c r="AC1973" s="1186"/>
      <c r="AD1973" s="1187"/>
    </row>
    <row r="1974" spans="1:30" x14ac:dyDescent="0.2">
      <c r="A1974">
        <f t="shared" si="64"/>
        <v>51</v>
      </c>
      <c r="B1974">
        <v>1965</v>
      </c>
      <c r="C1974" s="1078"/>
      <c r="D1974" s="1077"/>
      <c r="E1974" s="1077"/>
      <c r="F1974" s="1079"/>
      <c r="G1974" s="1079"/>
      <c r="H1974" s="1079"/>
      <c r="I1974" s="1079"/>
      <c r="J1974" s="1079"/>
      <c r="K1974" s="1079"/>
      <c r="L1974" s="1079"/>
      <c r="M1974" s="1079"/>
      <c r="N1974" s="1079"/>
      <c r="O1974" s="1079"/>
      <c r="P1974" s="1079"/>
      <c r="Q1974" s="1079"/>
      <c r="R1974" s="1079"/>
      <c r="S1974" s="1079"/>
      <c r="T1974" s="1079"/>
      <c r="U1974" s="1079"/>
      <c r="V1974" s="1079"/>
      <c r="W1974" s="1186"/>
      <c r="X1974" s="1186"/>
      <c r="Y1974" s="1186"/>
      <c r="Z1974" s="1186"/>
      <c r="AA1974" s="1186"/>
      <c r="AB1974" s="1186"/>
      <c r="AC1974" s="1186"/>
      <c r="AD1974" s="1187"/>
    </row>
    <row r="1975" spans="1:30" x14ac:dyDescent="0.2">
      <c r="A1975">
        <f t="shared" si="64"/>
        <v>51</v>
      </c>
      <c r="B1975">
        <v>1966</v>
      </c>
      <c r="C1975" s="1078"/>
      <c r="D1975" s="1077"/>
      <c r="E1975" s="1077"/>
      <c r="F1975" s="1079"/>
      <c r="G1975" s="1079"/>
      <c r="H1975" s="1079"/>
      <c r="I1975" s="1079"/>
      <c r="J1975" s="1079"/>
      <c r="K1975" s="1079"/>
      <c r="L1975" s="1079"/>
      <c r="M1975" s="1079"/>
      <c r="N1975" s="1079"/>
      <c r="O1975" s="1079"/>
      <c r="P1975" s="1079"/>
      <c r="Q1975" s="1079"/>
      <c r="R1975" s="1079"/>
      <c r="S1975" s="1079"/>
      <c r="T1975" s="1079"/>
      <c r="U1975" s="1079"/>
      <c r="V1975" s="1079"/>
      <c r="W1975" s="1079"/>
      <c r="X1975" s="1079"/>
      <c r="Y1975" s="1079"/>
      <c r="Z1975" s="1079"/>
      <c r="AA1975" s="1079"/>
      <c r="AB1975" s="1079"/>
      <c r="AC1975" s="1079"/>
      <c r="AD1975" s="1080"/>
    </row>
    <row r="1976" spans="1:30" x14ac:dyDescent="0.2">
      <c r="A1976">
        <f t="shared" si="64"/>
        <v>51</v>
      </c>
      <c r="B1976">
        <v>1967</v>
      </c>
      <c r="C1976" s="1078"/>
      <c r="D1976" s="1077"/>
      <c r="E1976" s="1077"/>
      <c r="F1976" s="1079"/>
      <c r="G1976" s="1079"/>
      <c r="H1976" s="1079"/>
      <c r="I1976" s="1079"/>
      <c r="J1976" s="1079"/>
      <c r="K1976" s="1079"/>
      <c r="L1976" s="1079"/>
      <c r="M1976" s="1079"/>
      <c r="N1976" s="1079"/>
      <c r="O1976" s="1079"/>
      <c r="P1976" s="1079"/>
      <c r="Q1976" s="1079"/>
      <c r="R1976" s="1079"/>
      <c r="S1976" s="1079"/>
      <c r="T1976" s="1079"/>
      <c r="U1976" s="1079"/>
      <c r="V1976" s="1079"/>
      <c r="W1976" s="1079"/>
      <c r="X1976" s="1079"/>
      <c r="Y1976" s="1079"/>
      <c r="Z1976" s="1079"/>
      <c r="AA1976" s="1079"/>
      <c r="AB1976" s="1079"/>
      <c r="AC1976" s="1079"/>
      <c r="AD1976" s="1080"/>
    </row>
    <row r="1977" spans="1:30" x14ac:dyDescent="0.2">
      <c r="A1977">
        <f t="shared" si="64"/>
        <v>51</v>
      </c>
      <c r="B1977">
        <v>1968</v>
      </c>
      <c r="C1977" s="1078"/>
      <c r="D1977" s="1077"/>
      <c r="E1977" s="1077"/>
      <c r="F1977" s="1079"/>
      <c r="G1977" s="1079"/>
      <c r="H1977" s="1079"/>
      <c r="I1977" s="1079"/>
      <c r="J1977" s="1079"/>
      <c r="K1977" s="1079"/>
      <c r="L1977" s="1079"/>
      <c r="M1977" s="1079"/>
      <c r="N1977" s="1079"/>
      <c r="O1977" s="1079"/>
      <c r="P1977" s="1079"/>
      <c r="Q1977" s="1079"/>
      <c r="R1977" s="1079"/>
      <c r="S1977" s="1079"/>
      <c r="T1977" s="1079"/>
      <c r="U1977" s="1079"/>
      <c r="V1977" s="1079"/>
      <c r="W1977" s="1079"/>
      <c r="X1977" s="1079"/>
      <c r="Y1977" s="1079"/>
      <c r="Z1977" s="1079"/>
      <c r="AA1977" s="1079"/>
      <c r="AB1977" s="1079"/>
      <c r="AC1977" s="1079"/>
      <c r="AD1977" s="1080"/>
    </row>
    <row r="1978" spans="1:30" x14ac:dyDescent="0.2">
      <c r="A1978">
        <f t="shared" si="64"/>
        <v>51</v>
      </c>
      <c r="B1978">
        <v>1969</v>
      </c>
      <c r="C1978" s="1078"/>
      <c r="D1978" s="1077"/>
      <c r="E1978" s="1077"/>
      <c r="F1978" s="1079"/>
      <c r="G1978" s="1079"/>
      <c r="H1978" s="1079"/>
      <c r="I1978" s="1079"/>
      <c r="J1978" s="1079"/>
      <c r="K1978" s="1079"/>
      <c r="L1978" s="1079"/>
      <c r="M1978" s="1079"/>
      <c r="N1978" s="1079"/>
      <c r="O1978" s="1079"/>
      <c r="P1978" s="1079"/>
      <c r="Q1978" s="1079"/>
      <c r="R1978" s="1079"/>
      <c r="S1978" s="1079"/>
      <c r="T1978" s="1079"/>
      <c r="U1978" s="1079"/>
      <c r="V1978" s="1079"/>
      <c r="W1978" s="1079"/>
      <c r="X1978" s="1079"/>
      <c r="Y1978" s="1079"/>
      <c r="Z1978" s="1079"/>
      <c r="AA1978" s="1079"/>
      <c r="AB1978" s="1079"/>
      <c r="AC1978" s="1079"/>
      <c r="AD1978" s="1080"/>
    </row>
    <row r="1979" spans="1:30" x14ac:dyDescent="0.2">
      <c r="A1979">
        <f t="shared" si="64"/>
        <v>51</v>
      </c>
      <c r="B1979">
        <v>1970</v>
      </c>
      <c r="C1979" s="1078"/>
      <c r="D1979" s="1077"/>
      <c r="E1979" s="1077"/>
      <c r="F1979" s="1079"/>
      <c r="G1979" s="1079"/>
      <c r="H1979" s="1079"/>
      <c r="I1979" s="1079"/>
      <c r="J1979" s="1079"/>
      <c r="K1979" s="1079"/>
      <c r="L1979" s="1079"/>
      <c r="M1979" s="1079"/>
      <c r="N1979" s="1079"/>
      <c r="O1979" s="1079"/>
      <c r="P1979" s="1079"/>
      <c r="Q1979" s="1079"/>
      <c r="R1979" s="1079"/>
      <c r="S1979" s="1079"/>
      <c r="T1979" s="1079"/>
      <c r="U1979" s="1079"/>
      <c r="V1979" s="1079"/>
      <c r="W1979" s="1079"/>
      <c r="X1979" s="1079"/>
      <c r="Y1979" s="1079"/>
      <c r="Z1979" s="1079"/>
      <c r="AA1979" s="1079"/>
      <c r="AB1979" s="1079"/>
      <c r="AC1979" s="1079"/>
      <c r="AD1979" s="1080"/>
    </row>
    <row r="1980" spans="1:30" x14ac:dyDescent="0.2">
      <c r="A1980">
        <f t="shared" si="64"/>
        <v>51</v>
      </c>
      <c r="B1980">
        <v>1971</v>
      </c>
      <c r="C1980" s="1078"/>
      <c r="D1980" s="1077"/>
      <c r="E1980" s="1077"/>
      <c r="F1980" s="1079"/>
      <c r="G1980" s="1079"/>
      <c r="H1980" s="1079"/>
      <c r="I1980" s="1079"/>
      <c r="J1980" s="1079"/>
      <c r="K1980" s="1079"/>
      <c r="L1980" s="1079"/>
      <c r="M1980" s="1079"/>
      <c r="N1980" s="1079"/>
      <c r="O1980" s="1079"/>
      <c r="P1980" s="1079"/>
      <c r="Q1980" s="1079"/>
      <c r="R1980" s="1079"/>
      <c r="S1980" s="1079"/>
      <c r="T1980" s="1079"/>
      <c r="U1980" s="1079"/>
      <c r="V1980" s="1079"/>
      <c r="W1980" s="1079"/>
      <c r="X1980" s="1079"/>
      <c r="Y1980" s="1079"/>
      <c r="Z1980" s="1079"/>
      <c r="AA1980" s="1079"/>
      <c r="AB1980" s="1079"/>
      <c r="AC1980" s="1079"/>
      <c r="AD1980" s="1080"/>
    </row>
    <row r="1981" spans="1:30" x14ac:dyDescent="0.2">
      <c r="A1981">
        <f t="shared" si="64"/>
        <v>51</v>
      </c>
      <c r="B1981">
        <v>1972</v>
      </c>
      <c r="C1981" s="1078"/>
      <c r="D1981" s="1077"/>
      <c r="E1981" s="1077"/>
      <c r="F1981" s="1079"/>
      <c r="G1981" s="1079"/>
      <c r="H1981" s="1079"/>
      <c r="I1981" s="1079"/>
      <c r="J1981" s="1079"/>
      <c r="K1981" s="1079"/>
      <c r="L1981" s="1079"/>
      <c r="M1981" s="1079"/>
      <c r="N1981" s="1079"/>
      <c r="O1981" s="1079"/>
      <c r="P1981" s="1079"/>
      <c r="Q1981" s="1079"/>
      <c r="R1981" s="1079"/>
      <c r="S1981" s="1079"/>
      <c r="T1981" s="1079"/>
      <c r="U1981" s="1079"/>
      <c r="V1981" s="1079"/>
      <c r="W1981" s="1079"/>
      <c r="X1981" s="1079"/>
      <c r="Y1981" s="1079"/>
      <c r="Z1981" s="1079"/>
      <c r="AA1981" s="1079"/>
      <c r="AB1981" s="1079"/>
      <c r="AC1981" s="1079"/>
      <c r="AD1981" s="1080"/>
    </row>
    <row r="1982" spans="1:30" x14ac:dyDescent="0.2">
      <c r="A1982">
        <f t="shared" si="64"/>
        <v>51</v>
      </c>
      <c r="B1982">
        <v>1973</v>
      </c>
      <c r="C1982" s="1078"/>
      <c r="D1982" s="1077"/>
      <c r="E1982" s="1077"/>
      <c r="F1982" s="1079"/>
      <c r="G1982" s="1079"/>
      <c r="H1982" s="1079"/>
      <c r="I1982" s="1079"/>
      <c r="J1982" s="1079"/>
      <c r="K1982" s="1079"/>
      <c r="L1982" s="1079"/>
      <c r="M1982" s="1079"/>
      <c r="N1982" s="1079"/>
      <c r="O1982" s="1079"/>
      <c r="P1982" s="1079"/>
      <c r="Q1982" s="1079"/>
      <c r="R1982" s="1079"/>
      <c r="S1982" s="1079"/>
      <c r="T1982" s="1079"/>
      <c r="U1982" s="1079"/>
      <c r="V1982" s="1079"/>
      <c r="W1982" s="1079"/>
      <c r="X1982" s="1079"/>
      <c r="Y1982" s="1079"/>
      <c r="Z1982" s="1079"/>
      <c r="AA1982" s="1079"/>
      <c r="AB1982" s="1079"/>
      <c r="AC1982" s="1079"/>
      <c r="AD1982" s="1080"/>
    </row>
    <row r="1983" spans="1:30" x14ac:dyDescent="0.2">
      <c r="A1983">
        <f t="shared" si="64"/>
        <v>51</v>
      </c>
      <c r="B1983">
        <v>1974</v>
      </c>
      <c r="C1983" s="1078"/>
      <c r="D1983" s="1077"/>
      <c r="E1983" s="1077"/>
      <c r="F1983" s="1079"/>
      <c r="G1983" s="1079"/>
      <c r="H1983" s="1079"/>
      <c r="I1983" s="1079"/>
      <c r="J1983" s="1079"/>
      <c r="K1983" s="1079"/>
      <c r="L1983" s="1079"/>
      <c r="M1983" s="1079"/>
      <c r="N1983" s="1079"/>
      <c r="O1983" s="1079"/>
      <c r="P1983" s="1079"/>
      <c r="Q1983" s="1079"/>
      <c r="R1983" s="1079"/>
      <c r="S1983" s="1079"/>
      <c r="T1983" s="1079"/>
      <c r="U1983" s="1079"/>
      <c r="V1983" s="1079"/>
      <c r="W1983" s="1079"/>
      <c r="X1983" s="1079"/>
      <c r="Y1983" s="1079"/>
      <c r="Z1983" s="1079"/>
      <c r="AA1983" s="1079"/>
      <c r="AB1983" s="1079"/>
      <c r="AC1983" s="1079"/>
      <c r="AD1983" s="1080"/>
    </row>
    <row r="1984" spans="1:30" x14ac:dyDescent="0.2">
      <c r="A1984">
        <f t="shared" si="64"/>
        <v>51</v>
      </c>
      <c r="B1984">
        <v>1975</v>
      </c>
      <c r="C1984" s="1078"/>
      <c r="D1984" s="1077"/>
      <c r="E1984" s="1077"/>
      <c r="F1984" s="1079"/>
      <c r="G1984" s="1079"/>
      <c r="H1984" s="1079"/>
      <c r="I1984" s="1079"/>
      <c r="J1984" s="1079"/>
      <c r="K1984" s="1079"/>
      <c r="L1984" s="1079"/>
      <c r="M1984" s="1079"/>
      <c r="N1984" s="1079"/>
      <c r="O1984" s="1079"/>
      <c r="P1984" s="1079"/>
      <c r="Q1984" s="1079"/>
      <c r="R1984" s="1079"/>
      <c r="S1984" s="1079"/>
      <c r="T1984" s="1079"/>
      <c r="U1984" s="1079"/>
      <c r="V1984" s="1079"/>
      <c r="W1984" s="1079"/>
      <c r="X1984" s="1079"/>
      <c r="Y1984" s="1079"/>
      <c r="Z1984" s="1079"/>
      <c r="AA1984" s="1079"/>
      <c r="AB1984" s="1079"/>
      <c r="AC1984" s="1079"/>
      <c r="AD1984" s="1080"/>
    </row>
    <row r="1985" spans="1:30" x14ac:dyDescent="0.2">
      <c r="A1985">
        <f t="shared" si="64"/>
        <v>51</v>
      </c>
      <c r="B1985">
        <v>1976</v>
      </c>
      <c r="C1985" s="1078"/>
      <c r="D1985" s="1077"/>
      <c r="E1985" s="1077"/>
      <c r="F1985" s="1079"/>
      <c r="G1985" s="1079"/>
      <c r="H1985" s="1079"/>
      <c r="I1985" s="1079"/>
      <c r="J1985" s="1079"/>
      <c r="K1985" s="1079"/>
      <c r="L1985" s="1079"/>
      <c r="M1985" s="1079"/>
      <c r="N1985" s="1079"/>
      <c r="O1985" s="1079"/>
      <c r="P1985" s="1079"/>
      <c r="Q1985" s="1079"/>
      <c r="R1985" s="1079"/>
      <c r="S1985" s="1079"/>
      <c r="T1985" s="1079"/>
      <c r="U1985" s="1079"/>
      <c r="V1985" s="1079"/>
      <c r="W1985" s="1079"/>
      <c r="X1985" s="1079"/>
      <c r="Y1985" s="1079"/>
      <c r="Z1985" s="1079"/>
      <c r="AA1985" s="1079"/>
      <c r="AB1985" s="1079"/>
      <c r="AC1985" s="1079"/>
      <c r="AD1985" s="1080"/>
    </row>
    <row r="1986" spans="1:30" x14ac:dyDescent="0.2">
      <c r="A1986">
        <f t="shared" si="64"/>
        <v>51</v>
      </c>
      <c r="B1986">
        <v>1977</v>
      </c>
      <c r="C1986" s="1078"/>
      <c r="D1986" s="1077"/>
      <c r="E1986" s="1077"/>
      <c r="F1986" s="1079"/>
      <c r="G1986" s="1079"/>
      <c r="H1986" s="1079"/>
      <c r="I1986" s="1079"/>
      <c r="J1986" s="1079"/>
      <c r="K1986" s="1079"/>
      <c r="L1986" s="1079"/>
      <c r="M1986" s="1079"/>
      <c r="N1986" s="1079"/>
      <c r="O1986" s="1079"/>
      <c r="P1986" s="1079"/>
      <c r="Q1986" s="1079"/>
      <c r="R1986" s="1079"/>
      <c r="S1986" s="1079"/>
      <c r="T1986" s="1079"/>
      <c r="U1986" s="1079"/>
      <c r="V1986" s="1079"/>
      <c r="W1986" s="1079"/>
      <c r="X1986" s="1079"/>
      <c r="Y1986" s="1079"/>
      <c r="Z1986" s="1079"/>
      <c r="AA1986" s="1079"/>
      <c r="AB1986" s="1079"/>
      <c r="AC1986" s="1079"/>
      <c r="AD1986" s="1080"/>
    </row>
    <row r="1987" spans="1:30" x14ac:dyDescent="0.2">
      <c r="A1987">
        <f t="shared" si="64"/>
        <v>51</v>
      </c>
      <c r="B1987">
        <v>1978</v>
      </c>
      <c r="C1987" s="1078"/>
      <c r="D1987" s="1077"/>
      <c r="E1987" s="1077"/>
      <c r="F1987" s="1079"/>
      <c r="G1987" s="1079"/>
      <c r="H1987" s="1079"/>
      <c r="I1987" s="1079"/>
      <c r="J1987" s="1079"/>
      <c r="K1987" s="1079"/>
      <c r="L1987" s="1079"/>
      <c r="M1987" s="1079"/>
      <c r="N1987" s="1079"/>
      <c r="O1987" s="1079"/>
      <c r="P1987" s="1079"/>
      <c r="Q1987" s="1079"/>
      <c r="R1987" s="1079"/>
      <c r="S1987" s="1079"/>
      <c r="T1987" s="1079"/>
      <c r="U1987" s="1079"/>
      <c r="V1987" s="1079"/>
      <c r="W1987" s="1079"/>
      <c r="X1987" s="1079"/>
      <c r="Y1987" s="1079"/>
      <c r="Z1987" s="1079"/>
      <c r="AA1987" s="1079"/>
      <c r="AB1987" s="1079"/>
      <c r="AC1987" s="1079"/>
      <c r="AD1987" s="1080"/>
    </row>
    <row r="1988" spans="1:30" x14ac:dyDescent="0.2">
      <c r="A1988">
        <f t="shared" si="64"/>
        <v>51</v>
      </c>
      <c r="B1988">
        <v>1979</v>
      </c>
      <c r="C1988" s="1078"/>
      <c r="D1988" s="1077"/>
      <c r="E1988" s="1077"/>
      <c r="F1988" s="1079"/>
      <c r="G1988" s="1079"/>
      <c r="H1988" s="1079"/>
      <c r="I1988" s="1079"/>
      <c r="J1988" s="1079"/>
      <c r="K1988" s="1079"/>
      <c r="L1988" s="1079"/>
      <c r="M1988" s="1079"/>
      <c r="N1988" s="1079"/>
      <c r="O1988" s="1079"/>
      <c r="P1988" s="1079"/>
      <c r="Q1988" s="1079"/>
      <c r="R1988" s="1079"/>
      <c r="S1988" s="1079"/>
      <c r="T1988" s="1079"/>
      <c r="U1988" s="1079"/>
      <c r="V1988" s="1079"/>
      <c r="W1988" s="1079"/>
      <c r="X1988" s="1079"/>
      <c r="Y1988" s="1079"/>
      <c r="Z1988" s="1079"/>
      <c r="AA1988" s="1079"/>
      <c r="AB1988" s="1079"/>
      <c r="AC1988" s="1079"/>
      <c r="AD1988" s="1080"/>
    </row>
    <row r="1989" spans="1:30" x14ac:dyDescent="0.2">
      <c r="A1989">
        <f t="shared" si="64"/>
        <v>51</v>
      </c>
      <c r="B1989">
        <v>1980</v>
      </c>
      <c r="C1989" s="1078"/>
      <c r="D1989" s="1077"/>
      <c r="E1989" s="1077"/>
      <c r="F1989" s="1079"/>
      <c r="G1989" s="1079"/>
      <c r="H1989" s="1079"/>
      <c r="I1989" s="1079"/>
      <c r="J1989" s="1079"/>
      <c r="K1989" s="1079"/>
      <c r="L1989" s="1079"/>
      <c r="M1989" s="1079"/>
      <c r="N1989" s="1079"/>
      <c r="O1989" s="1079"/>
      <c r="P1989" s="1079"/>
      <c r="Q1989" s="1079"/>
      <c r="R1989" s="1079"/>
      <c r="S1989" s="1079"/>
      <c r="T1989" s="1079"/>
      <c r="U1989" s="1079"/>
      <c r="V1989" s="1079"/>
      <c r="W1989" s="1079"/>
      <c r="X1989" s="1079"/>
      <c r="Y1989" s="1079"/>
      <c r="Z1989" s="1079"/>
      <c r="AA1989" s="1079"/>
      <c r="AB1989" s="1079"/>
      <c r="AC1989" s="1079"/>
      <c r="AD1989" s="1080"/>
    </row>
    <row r="1990" spans="1:30" x14ac:dyDescent="0.2">
      <c r="A1990">
        <f t="shared" si="64"/>
        <v>51</v>
      </c>
      <c r="B1990">
        <v>1981</v>
      </c>
      <c r="C1990" s="1078"/>
      <c r="D1990" s="1077"/>
      <c r="E1990" s="1077"/>
      <c r="F1990" s="1079"/>
      <c r="G1990" s="1079"/>
      <c r="H1990" s="1079"/>
      <c r="I1990" s="1079"/>
      <c r="J1990" s="1079"/>
      <c r="K1990" s="1079"/>
      <c r="L1990" s="1079"/>
      <c r="M1990" s="1079"/>
      <c r="N1990" s="1079"/>
      <c r="O1990" s="1079"/>
      <c r="P1990" s="1079"/>
      <c r="Q1990" s="1079"/>
      <c r="R1990" s="1079"/>
      <c r="S1990" s="1079"/>
      <c r="T1990" s="1079"/>
      <c r="U1990" s="1079"/>
      <c r="V1990" s="1079"/>
      <c r="W1990" s="1079"/>
      <c r="X1990" s="1079"/>
      <c r="Y1990" s="1079"/>
      <c r="Z1990" s="1079"/>
      <c r="AA1990" s="1079"/>
      <c r="AB1990" s="1079"/>
      <c r="AC1990" s="1079"/>
      <c r="AD1990" s="1080"/>
    </row>
    <row r="1991" spans="1:30" x14ac:dyDescent="0.2">
      <c r="A1991">
        <f t="shared" si="64"/>
        <v>51</v>
      </c>
      <c r="B1991">
        <v>1982</v>
      </c>
      <c r="C1991" s="1078"/>
      <c r="D1991" s="1077"/>
      <c r="E1991" s="1077"/>
      <c r="F1991" s="1079"/>
      <c r="G1991" s="1079"/>
      <c r="H1991" s="1079"/>
      <c r="I1991" s="1079"/>
      <c r="J1991" s="1079"/>
      <c r="K1991" s="1079"/>
      <c r="L1991" s="1079"/>
      <c r="M1991" s="1079"/>
      <c r="N1991" s="1079"/>
      <c r="O1991" s="1079"/>
      <c r="P1991" s="1079"/>
      <c r="Q1991" s="1079"/>
      <c r="R1991" s="1079"/>
      <c r="S1991" s="1079"/>
      <c r="T1991" s="1079"/>
      <c r="U1991" s="1079"/>
      <c r="V1991" s="1079"/>
      <c r="W1991" s="1079"/>
      <c r="X1991" s="1079"/>
      <c r="Y1991" s="1079"/>
      <c r="Z1991" s="1079"/>
      <c r="AA1991" s="1079"/>
      <c r="AB1991" s="1079"/>
      <c r="AC1991" s="1079"/>
      <c r="AD1991" s="1080"/>
    </row>
    <row r="1992" spans="1:30" x14ac:dyDescent="0.2">
      <c r="A1992">
        <f t="shared" si="64"/>
        <v>51</v>
      </c>
      <c r="B1992">
        <v>1983</v>
      </c>
      <c r="C1992" s="1078"/>
      <c r="D1992" s="1077"/>
      <c r="E1992" s="1077"/>
      <c r="F1992" s="1079"/>
      <c r="G1992" s="1079"/>
      <c r="H1992" s="1079"/>
      <c r="I1992" s="1079"/>
      <c r="J1992" s="1079"/>
      <c r="K1992" s="1079"/>
      <c r="L1992" s="1079"/>
      <c r="M1992" s="1079"/>
      <c r="N1992" s="1079"/>
      <c r="O1992" s="1079"/>
      <c r="P1992" s="1079"/>
      <c r="Q1992" s="1079"/>
      <c r="R1992" s="1079"/>
      <c r="S1992" s="1079"/>
      <c r="T1992" s="1079"/>
      <c r="U1992" s="1079"/>
      <c r="V1992" s="1079"/>
      <c r="W1992" s="1079"/>
      <c r="X1992" s="1079"/>
      <c r="Y1992" s="1079"/>
      <c r="Z1992" s="1079"/>
      <c r="AA1992" s="1079"/>
      <c r="AB1992" s="1079"/>
      <c r="AC1992" s="1079"/>
      <c r="AD1992" s="1080"/>
    </row>
    <row r="1993" spans="1:30" x14ac:dyDescent="0.2">
      <c r="A1993">
        <f t="shared" si="64"/>
        <v>51</v>
      </c>
      <c r="B1993">
        <v>1984</v>
      </c>
      <c r="C1993" s="1078"/>
      <c r="D1993" s="1077"/>
      <c r="E1993" s="1077"/>
      <c r="F1993" s="1079"/>
      <c r="G1993" s="1079"/>
      <c r="H1993" s="1079"/>
      <c r="I1993" s="1079"/>
      <c r="J1993" s="1079"/>
      <c r="K1993" s="1079"/>
      <c r="L1993" s="1079"/>
      <c r="M1993" s="1079"/>
      <c r="N1993" s="1079"/>
      <c r="O1993" s="1079"/>
      <c r="P1993" s="1079"/>
      <c r="Q1993" s="1079"/>
      <c r="R1993" s="1079"/>
      <c r="S1993" s="1079"/>
      <c r="T1993" s="1079"/>
      <c r="U1993" s="1079"/>
      <c r="V1993" s="1079"/>
      <c r="W1993" s="1079"/>
      <c r="X1993" s="1079"/>
      <c r="Y1993" s="1079"/>
      <c r="Z1993" s="1079"/>
      <c r="AA1993" s="1079"/>
      <c r="AB1993" s="1079"/>
      <c r="AC1993" s="1079"/>
      <c r="AD1993" s="1080"/>
    </row>
    <row r="1994" spans="1:30" x14ac:dyDescent="0.2">
      <c r="A1994">
        <f t="shared" si="64"/>
        <v>51</v>
      </c>
      <c r="B1994">
        <v>1985</v>
      </c>
      <c r="C1994" s="1078"/>
      <c r="D1994" s="1077"/>
      <c r="E1994" s="1077"/>
      <c r="F1994" s="1079"/>
      <c r="G1994" s="1079"/>
      <c r="H1994" s="1079"/>
      <c r="I1994" s="1079"/>
      <c r="J1994" s="1079"/>
      <c r="K1994" s="1079"/>
      <c r="L1994" s="1079"/>
      <c r="M1994" s="1079"/>
      <c r="N1994" s="1079"/>
      <c r="O1994" s="1079"/>
      <c r="P1994" s="1079"/>
      <c r="Q1994" s="1079"/>
      <c r="R1994" s="1079"/>
      <c r="S1994" s="1079"/>
      <c r="T1994" s="1079"/>
      <c r="U1994" s="1079"/>
      <c r="V1994" s="1079"/>
      <c r="W1994" s="1079"/>
      <c r="X1994" s="1079"/>
      <c r="Y1994" s="1079"/>
      <c r="Z1994" s="1079"/>
      <c r="AA1994" s="1079"/>
      <c r="AB1994" s="1079"/>
      <c r="AC1994" s="1079"/>
      <c r="AD1994" s="1080"/>
    </row>
    <row r="1995" spans="1:30" x14ac:dyDescent="0.2">
      <c r="A1995">
        <f t="shared" si="64"/>
        <v>51</v>
      </c>
      <c r="B1995">
        <v>1986</v>
      </c>
      <c r="C1995" s="1078"/>
      <c r="D1995" s="1077"/>
      <c r="E1995" s="1077"/>
      <c r="F1995" s="1079"/>
      <c r="G1995" s="1079"/>
      <c r="H1995" s="1079"/>
      <c r="I1995" s="1079"/>
      <c r="J1995" s="1079"/>
      <c r="K1995" s="1079"/>
      <c r="L1995" s="1079"/>
      <c r="M1995" s="1079"/>
      <c r="N1995" s="1079"/>
      <c r="O1995" s="1079"/>
      <c r="P1995" s="1079"/>
      <c r="Q1995" s="1079"/>
      <c r="R1995" s="1079"/>
      <c r="S1995" s="1079"/>
      <c r="T1995" s="1079"/>
      <c r="U1995" s="1079"/>
      <c r="V1995" s="1079"/>
      <c r="W1995" s="1079"/>
      <c r="X1995" s="1079"/>
      <c r="Y1995" s="1079"/>
      <c r="Z1995" s="1079"/>
      <c r="AA1995" s="1079"/>
      <c r="AB1995" s="1079"/>
      <c r="AC1995" s="1079"/>
      <c r="AD1995" s="1080"/>
    </row>
    <row r="1996" spans="1:30" x14ac:dyDescent="0.2">
      <c r="A1996">
        <f t="shared" ref="A1996:A2000" si="65">A1995+(D1996&lt;&gt;D1995)*1</f>
        <v>51</v>
      </c>
      <c r="B1996">
        <v>1987</v>
      </c>
      <c r="C1996" s="1078"/>
      <c r="D1996" s="1077"/>
      <c r="E1996" s="1077"/>
      <c r="F1996" s="1079"/>
      <c r="G1996" s="1079"/>
      <c r="H1996" s="1079"/>
      <c r="I1996" s="1079"/>
      <c r="J1996" s="1079"/>
      <c r="K1996" s="1079"/>
      <c r="L1996" s="1079"/>
      <c r="M1996" s="1079"/>
      <c r="N1996" s="1079"/>
      <c r="O1996" s="1079"/>
      <c r="P1996" s="1079"/>
      <c r="Q1996" s="1079"/>
      <c r="R1996" s="1079"/>
      <c r="S1996" s="1079"/>
      <c r="T1996" s="1079"/>
      <c r="U1996" s="1079"/>
      <c r="V1996" s="1079"/>
      <c r="W1996" s="1079"/>
      <c r="X1996" s="1079"/>
      <c r="Y1996" s="1079"/>
      <c r="Z1996" s="1079"/>
      <c r="AA1996" s="1079"/>
      <c r="AB1996" s="1079"/>
      <c r="AC1996" s="1079"/>
      <c r="AD1996" s="1080"/>
    </row>
    <row r="1997" spans="1:30" x14ac:dyDescent="0.2">
      <c r="A1997">
        <f t="shared" si="65"/>
        <v>51</v>
      </c>
      <c r="B1997">
        <v>1988</v>
      </c>
      <c r="C1997" s="1078"/>
      <c r="D1997" s="1077"/>
      <c r="E1997" s="1077"/>
      <c r="F1997" s="1079"/>
      <c r="G1997" s="1079"/>
      <c r="H1997" s="1079"/>
      <c r="I1997" s="1079"/>
      <c r="J1997" s="1079"/>
      <c r="K1997" s="1079"/>
      <c r="L1997" s="1079"/>
      <c r="M1997" s="1079"/>
      <c r="N1997" s="1079"/>
      <c r="O1997" s="1079"/>
      <c r="P1997" s="1079"/>
      <c r="Q1997" s="1079"/>
      <c r="R1997" s="1079"/>
      <c r="S1997" s="1079"/>
      <c r="T1997" s="1079"/>
      <c r="U1997" s="1079"/>
      <c r="V1997" s="1079"/>
      <c r="W1997" s="1079"/>
      <c r="X1997" s="1079"/>
      <c r="Y1997" s="1079"/>
      <c r="Z1997" s="1079"/>
      <c r="AA1997" s="1079"/>
      <c r="AB1997" s="1079"/>
      <c r="AC1997" s="1079"/>
      <c r="AD1997" s="1080"/>
    </row>
    <row r="1998" spans="1:30" x14ac:dyDescent="0.2">
      <c r="A1998">
        <f t="shared" si="65"/>
        <v>51</v>
      </c>
      <c r="B1998">
        <v>1989</v>
      </c>
      <c r="C1998" s="1078"/>
      <c r="D1998" s="1077"/>
      <c r="E1998" s="1077"/>
      <c r="F1998" s="1079"/>
      <c r="G1998" s="1079"/>
      <c r="H1998" s="1079"/>
      <c r="I1998" s="1079"/>
      <c r="J1998" s="1079"/>
      <c r="K1998" s="1079"/>
      <c r="L1998" s="1079"/>
      <c r="M1998" s="1079"/>
      <c r="N1998" s="1079"/>
      <c r="O1998" s="1079"/>
      <c r="P1998" s="1079"/>
      <c r="Q1998" s="1079"/>
      <c r="R1998" s="1079"/>
      <c r="S1998" s="1079"/>
      <c r="T1998" s="1079"/>
      <c r="U1998" s="1079"/>
      <c r="V1998" s="1079"/>
      <c r="W1998" s="1079"/>
      <c r="X1998" s="1079"/>
      <c r="Y1998" s="1079"/>
      <c r="Z1998" s="1079"/>
      <c r="AA1998" s="1079"/>
      <c r="AB1998" s="1079"/>
      <c r="AC1998" s="1079"/>
      <c r="AD1998" s="1080"/>
    </row>
    <row r="1999" spans="1:30" x14ac:dyDescent="0.2">
      <c r="A1999">
        <f t="shared" si="65"/>
        <v>51</v>
      </c>
      <c r="B1999">
        <v>1990</v>
      </c>
      <c r="C1999" s="1078"/>
      <c r="D1999" s="1077"/>
      <c r="E1999" s="1077"/>
      <c r="F1999" s="1079"/>
      <c r="G1999" s="1079"/>
      <c r="H1999" s="1079"/>
      <c r="I1999" s="1079"/>
      <c r="J1999" s="1079"/>
      <c r="K1999" s="1079"/>
      <c r="L1999" s="1079"/>
      <c r="M1999" s="1079"/>
      <c r="N1999" s="1079"/>
      <c r="O1999" s="1079"/>
      <c r="P1999" s="1079"/>
      <c r="Q1999" s="1079"/>
      <c r="R1999" s="1079"/>
      <c r="S1999" s="1079"/>
      <c r="T1999" s="1079"/>
      <c r="U1999" s="1079"/>
      <c r="V1999" s="1079"/>
      <c r="W1999" s="1079"/>
      <c r="X1999" s="1079"/>
      <c r="Y1999" s="1079"/>
      <c r="Z1999" s="1079"/>
      <c r="AA1999" s="1079"/>
      <c r="AB1999" s="1079"/>
      <c r="AC1999" s="1079"/>
      <c r="AD1999" s="1080"/>
    </row>
    <row r="2000" spans="1:30" x14ac:dyDescent="0.2">
      <c r="A2000">
        <f t="shared" si="65"/>
        <v>51</v>
      </c>
      <c r="B2000" s="644">
        <v>1991</v>
      </c>
      <c r="C2000" s="1081"/>
      <c r="D2000" s="1082"/>
      <c r="E2000" s="1082"/>
      <c r="F2000" s="1083"/>
      <c r="G2000" s="1083"/>
      <c r="H2000" s="1083"/>
      <c r="I2000" s="1083"/>
      <c r="J2000" s="1083"/>
      <c r="K2000" s="1083"/>
      <c r="L2000" s="1083"/>
      <c r="M2000" s="1083"/>
      <c r="N2000" s="1083"/>
      <c r="O2000" s="1083"/>
      <c r="P2000" s="1083"/>
      <c r="Q2000" s="1083"/>
      <c r="R2000" s="1083"/>
      <c r="S2000" s="1083"/>
      <c r="T2000" s="1083"/>
      <c r="U2000" s="1083"/>
      <c r="V2000" s="1083"/>
      <c r="W2000" s="1083"/>
      <c r="X2000" s="1083"/>
      <c r="Y2000" s="1083"/>
      <c r="Z2000" s="1083"/>
      <c r="AA2000" s="1083"/>
      <c r="AB2000" s="1083"/>
      <c r="AC2000" s="1083"/>
      <c r="AD2000" s="1084"/>
    </row>
  </sheetData>
  <sheetProtection algorithmName="SHA-512" hashValue="n9eZc6YEiW0gJi20/Aa75az7xroYpGJsDgSzny09Pgku9QX6QqR6E+sA0LOBP5gWDLJpGY96tGmEeeB8kndvJw==" saltValue="lVjVZsdQPKsmXEO1SjYpeA=="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e36124beb853bcfec44f6fbcfe8edb93">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f316dfe4ee818f2d543e2f06e00db535"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31B722F6-9054-4906-AC05-2460E7605EE3}"/>
</file>

<file path=customXml/itemProps2.xml><?xml version="1.0" encoding="utf-8"?>
<ds:datastoreItem xmlns:ds="http://schemas.openxmlformats.org/officeDocument/2006/customXml" ds:itemID="{E2A3CDD1-8C19-4E00-A410-74A584AA76DF}">
  <ds:schemaRefs>
    <ds:schemaRef ds:uri="http://schemas.microsoft.com/sharepoint/v3/contenttype/forms"/>
  </ds:schemaRefs>
</ds:datastoreItem>
</file>

<file path=customXml/itemProps3.xml><?xml version="1.0" encoding="utf-8"?>
<ds:datastoreItem xmlns:ds="http://schemas.openxmlformats.org/officeDocument/2006/customXml" ds:itemID="{BB5FF097-46BD-4DE2-8709-C64B2A79DB6D}">
  <ds:schemaRefs>
    <ds:schemaRef ds:uri="http://schemas.microsoft.com/office/2006/metadata/properties"/>
    <ds:schemaRef ds:uri="http://schemas.microsoft.com/office/infopath/2007/PartnerControls"/>
    <ds:schemaRef ds:uri="3bc25d8c-f2cb-4657-bbff-0721a7ee4f5f"/>
    <ds:schemaRef ds:uri="6e297851-079f-43c9-a3f3-89647c6de2f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144</vt:i4>
      </vt:variant>
    </vt:vector>
  </HeadingPairs>
  <TitlesOfParts>
    <vt:vector size="159" baseType="lpstr">
      <vt:lpstr>WP1</vt:lpstr>
      <vt:lpstr>Sprache</vt:lpstr>
      <vt:lpstr>Tabelle1</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2026-01-28T07:03:58Z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